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firstSheet="2" activeTab="2"/>
  </bookViews>
  <sheets>
    <sheet name="results" sheetId="5" state="veryHidden" r:id="rId1"/>
    <sheet name="Sheet1" sheetId="4" state="hidden" r:id="rId2"/>
    <sheet name="测算稿 " sheetId="8" r:id="rId3"/>
    <sheet name="基础数" sheetId="9" r:id="rId4"/>
  </sheets>
  <calcPr calcId="144525" concurrentCalc="0"/>
</workbook>
</file>

<file path=xl/sharedStrings.xml><?xml version="1.0" encoding="utf-8"?>
<sst xmlns="http://schemas.openxmlformats.org/spreadsheetml/2006/main" count="233" uniqueCount="154">
  <si>
    <t>2019年1-6月累计车险原保险保费收入</t>
  </si>
  <si>
    <t>单位：万元，须转换成亿元</t>
  </si>
  <si>
    <t>转换为亿元保费</t>
  </si>
  <si>
    <t>2018.7-2019.6滚动12个月</t>
  </si>
  <si>
    <t>车险-理赔-有效件</t>
  </si>
  <si>
    <t>公司名称</t>
  </si>
  <si>
    <t>本年</t>
  </si>
  <si>
    <r>
      <rPr>
        <b/>
        <sz val="11"/>
        <color theme="1"/>
        <rFont val="宋体"/>
        <charset val="134"/>
      </rPr>
      <t>2018</t>
    </r>
    <r>
      <rPr>
        <b/>
        <sz val="9"/>
        <rFont val="宋体"/>
        <charset val="134"/>
      </rPr>
      <t>年</t>
    </r>
    <r>
      <rPr>
        <b/>
        <sz val="9"/>
        <rFont val="Tahoma"/>
        <charset val="134"/>
      </rPr>
      <t>7</t>
    </r>
    <r>
      <rPr>
        <b/>
        <sz val="9"/>
        <rFont val="宋体"/>
        <charset val="134"/>
      </rPr>
      <t>月</t>
    </r>
    <r>
      <rPr>
        <b/>
        <sz val="9"/>
        <rFont val="Tahoma"/>
        <charset val="134"/>
      </rPr>
      <t>-12</t>
    </r>
    <r>
      <rPr>
        <b/>
        <sz val="9"/>
        <rFont val="宋体"/>
        <charset val="134"/>
      </rPr>
      <t>月累计</t>
    </r>
  </si>
  <si>
    <r>
      <rPr>
        <b/>
        <sz val="11"/>
        <color theme="1"/>
        <rFont val="宋体"/>
        <charset val="134"/>
      </rPr>
      <t>2019.6</t>
    </r>
    <r>
      <rPr>
        <sz val="10"/>
        <rFont val="宋体"/>
        <charset val="134"/>
      </rPr>
      <t>滚动</t>
    </r>
    <r>
      <rPr>
        <sz val="11"/>
        <color theme="1"/>
        <rFont val="宋体"/>
        <charset val="134"/>
      </rPr>
      <t>12</t>
    </r>
    <r>
      <rPr>
        <sz val="10"/>
        <rFont val="宋体"/>
        <charset val="134"/>
      </rPr>
      <t>月合计（万元）</t>
    </r>
  </si>
  <si>
    <r>
      <rPr>
        <b/>
        <sz val="11"/>
        <color theme="1"/>
        <rFont val="宋体"/>
        <charset val="134"/>
      </rPr>
      <t>2019.6</t>
    </r>
    <r>
      <rPr>
        <sz val="10"/>
        <rFont val="宋体"/>
        <charset val="134"/>
      </rPr>
      <t>滚动</t>
    </r>
    <r>
      <rPr>
        <sz val="11"/>
        <color theme="1"/>
        <rFont val="宋体"/>
        <charset val="134"/>
      </rPr>
      <t>12</t>
    </r>
    <r>
      <rPr>
        <sz val="10"/>
        <rFont val="宋体"/>
        <charset val="134"/>
      </rPr>
      <t>月车险理赔有效投诉件合计</t>
    </r>
  </si>
  <si>
    <r>
      <rPr>
        <b/>
        <sz val="11"/>
        <color theme="1"/>
        <rFont val="宋体"/>
        <charset val="134"/>
      </rPr>
      <t>2019.6</t>
    </r>
    <r>
      <rPr>
        <sz val="10"/>
        <rFont val="宋体"/>
        <charset val="134"/>
      </rPr>
      <t>滚动</t>
    </r>
    <r>
      <rPr>
        <sz val="11"/>
        <color theme="1"/>
        <rFont val="宋体"/>
        <charset val="134"/>
      </rPr>
      <t>12</t>
    </r>
    <r>
      <rPr>
        <sz val="10"/>
        <rFont val="宋体"/>
        <charset val="134"/>
      </rPr>
      <t>月合计（亿元）</t>
    </r>
  </si>
  <si>
    <t>亿元保费投诉量</t>
  </si>
  <si>
    <t>机构名称</t>
  </si>
  <si>
    <t>计数项:投诉内容</t>
  </si>
  <si>
    <r>
      <rPr>
        <sz val="11"/>
        <color theme="1"/>
        <rFont val="宋体"/>
        <charset val="134"/>
      </rPr>
      <t>车险原保险保费收入（滚动</t>
    </r>
    <r>
      <rPr>
        <sz val="11"/>
        <color theme="1"/>
        <rFont val="宋体"/>
        <charset val="134"/>
      </rPr>
      <t>12</t>
    </r>
    <r>
      <rPr>
        <sz val="10"/>
        <rFont val="宋体"/>
        <charset val="134"/>
      </rPr>
      <t>月）</t>
    </r>
  </si>
  <si>
    <t>人保股份鲁分</t>
  </si>
  <si>
    <t>安邦财险</t>
  </si>
  <si>
    <t>大地财产鲁分</t>
  </si>
  <si>
    <t>安诚财险</t>
  </si>
  <si>
    <t>中华联合鲁分</t>
  </si>
  <si>
    <t>安华农险</t>
  </si>
  <si>
    <t>太保财鲁分</t>
  </si>
  <si>
    <t>安盛天平</t>
  </si>
  <si>
    <t>平安财鲁分</t>
  </si>
  <si>
    <t>渤海财险</t>
  </si>
  <si>
    <t>华泰鲁分</t>
  </si>
  <si>
    <t>大地财险</t>
  </si>
  <si>
    <t>天安鲁分</t>
  </si>
  <si>
    <t>鼎和财险</t>
  </si>
  <si>
    <t>华安鲁分</t>
  </si>
  <si>
    <t>都邦财险</t>
  </si>
  <si>
    <t>永安鲁分</t>
  </si>
  <si>
    <t>国任财险</t>
  </si>
  <si>
    <t>太平保险鲁分</t>
  </si>
  <si>
    <t>国寿财险</t>
  </si>
  <si>
    <t>亚太财险鲁分</t>
  </si>
  <si>
    <t>华安财险</t>
  </si>
  <si>
    <t>中银保险鲁分</t>
  </si>
  <si>
    <t>华海财险</t>
  </si>
  <si>
    <t>利宝鲁分</t>
  </si>
  <si>
    <t>华泰财险</t>
  </si>
  <si>
    <t>永诚鲁分</t>
  </si>
  <si>
    <t>利宝保险</t>
  </si>
  <si>
    <t>安邦鲁分</t>
  </si>
  <si>
    <t>平安财险青岛分公司</t>
  </si>
  <si>
    <t>国任财险鲁分</t>
  </si>
  <si>
    <t>平安财险山东分公司</t>
  </si>
  <si>
    <t>安华农业鲁分</t>
  </si>
  <si>
    <t>人保财险</t>
  </si>
  <si>
    <t>安盛天平鲁分</t>
  </si>
  <si>
    <t>太平财险</t>
  </si>
  <si>
    <t>阳光财产鲁分</t>
  </si>
  <si>
    <t>太平洋财险</t>
  </si>
  <si>
    <t>都邦鲁分</t>
  </si>
  <si>
    <t>泰山财险</t>
  </si>
  <si>
    <t>渤海鲁分</t>
  </si>
  <si>
    <t>天安财险</t>
  </si>
  <si>
    <t>国寿财产鲁分</t>
  </si>
  <si>
    <t>鑫安车险</t>
  </si>
  <si>
    <t>安诚鲁分</t>
  </si>
  <si>
    <t>亚太财险</t>
  </si>
  <si>
    <t>长安责任鲁分</t>
  </si>
  <si>
    <t>阳光财险</t>
  </si>
  <si>
    <t>国元保险山东分</t>
  </si>
  <si>
    <t>英大财险</t>
  </si>
  <si>
    <t>鼎和财产鲁分</t>
  </si>
  <si>
    <t>永安财险</t>
  </si>
  <si>
    <t>中煤财产鲁分</t>
  </si>
  <si>
    <t>永诚财险</t>
  </si>
  <si>
    <t>国泰产险鲁分</t>
  </si>
  <si>
    <t>长安责任</t>
  </si>
  <si>
    <t>英大财产鲁分</t>
  </si>
  <si>
    <t>长江财险</t>
  </si>
  <si>
    <t>浙商财产鲁分</t>
  </si>
  <si>
    <t>浙商财险</t>
  </si>
  <si>
    <t>紫金财产鲁分</t>
  </si>
  <si>
    <t>中华财险</t>
  </si>
  <si>
    <t>泰山财险鲁分</t>
  </si>
  <si>
    <t>中路财险</t>
  </si>
  <si>
    <t>众诚保险鲁分</t>
  </si>
  <si>
    <t>中煤财险</t>
  </si>
  <si>
    <t>长江财产山东分</t>
  </si>
  <si>
    <t>中银保险</t>
  </si>
  <si>
    <t>鑫安保险鲁分</t>
  </si>
  <si>
    <t>紫金财险</t>
  </si>
  <si>
    <t>众安财产鲁分（虚拟）</t>
  </si>
  <si>
    <t>总计</t>
  </si>
  <si>
    <t>华海财产鲁分</t>
  </si>
  <si>
    <t>中路财产鲁分</t>
  </si>
  <si>
    <t>泰康在线鲁分（虚拟）</t>
  </si>
  <si>
    <t>平均</t>
  </si>
  <si>
    <t>产险-合计</t>
  </si>
  <si>
    <t>潍坊市财险公司车辆保险理赔服务质量测评结果（2023年9月）</t>
  </si>
  <si>
    <t>排名</t>
  </si>
  <si>
    <t>公司</t>
  </si>
  <si>
    <t>总分</t>
  </si>
  <si>
    <t>理赔时效（60）</t>
  </si>
  <si>
    <t>案件处理（30）</t>
  </si>
  <si>
    <t>投诉处理（10）</t>
  </si>
  <si>
    <t>扣分项（6）</t>
  </si>
  <si>
    <t>家用车支付周期（40）</t>
  </si>
  <si>
    <t>非家用车支付周期（20）</t>
  </si>
  <si>
    <t>结案率（20）</t>
  </si>
  <si>
    <t>结案支付率(10)</t>
  </si>
  <si>
    <t>亿元投诉件数</t>
  </si>
  <si>
    <t>注销案件占比</t>
  </si>
  <si>
    <t>0结案占比</t>
  </si>
  <si>
    <t>案件重开率</t>
  </si>
  <si>
    <t>扣分</t>
  </si>
  <si>
    <t>交强小额案件</t>
  </si>
  <si>
    <t>交强非小额案件</t>
  </si>
  <si>
    <t>商业小额案件</t>
  </si>
  <si>
    <t>商业大额案件</t>
  </si>
  <si>
    <t>交强险</t>
  </si>
  <si>
    <t>商业险</t>
  </si>
  <si>
    <t>指标值</t>
  </si>
  <si>
    <t>得分</t>
  </si>
  <si>
    <t>行业值/满分</t>
  </si>
  <si>
    <t>浙商保险</t>
  </si>
  <si>
    <t>华安保险</t>
  </si>
  <si>
    <t>紫金保险</t>
  </si>
  <si>
    <t>永诚保险</t>
  </si>
  <si>
    <t>天安保险</t>
  </si>
  <si>
    <t>太平洋保险</t>
  </si>
  <si>
    <t>泰山保险</t>
  </si>
  <si>
    <t>渤海保险</t>
  </si>
  <si>
    <t>英大泰和</t>
  </si>
  <si>
    <t>阳光保险</t>
  </si>
  <si>
    <t>中煤保险</t>
  </si>
  <si>
    <t>华泰保险</t>
  </si>
  <si>
    <t>华海保险</t>
  </si>
  <si>
    <t>大地保险</t>
  </si>
  <si>
    <t>大家保险</t>
  </si>
  <si>
    <t>国泰产险</t>
  </si>
  <si>
    <t>平安保险</t>
  </si>
  <si>
    <t>中路保险</t>
  </si>
  <si>
    <t>安诚保险</t>
  </si>
  <si>
    <t>永安保险</t>
  </si>
  <si>
    <t>中华联合</t>
  </si>
  <si>
    <t>安华保险</t>
  </si>
  <si>
    <t>都邦保险</t>
  </si>
  <si>
    <t>亚太保险</t>
  </si>
  <si>
    <t>2023年9月车险理赔时效指标统计表</t>
  </si>
  <si>
    <t>家用车支付周期</t>
  </si>
  <si>
    <t>非家用车支付周期</t>
  </si>
  <si>
    <t>结案率</t>
  </si>
  <si>
    <t>结案支付率</t>
  </si>
  <si>
    <t>交强2000元以下</t>
  </si>
  <si>
    <t>交强2000元以上</t>
  </si>
  <si>
    <t>商业万元以下</t>
  </si>
  <si>
    <t>商业万元以上</t>
  </si>
  <si>
    <t>潍坊</t>
  </si>
  <si>
    <t>泰康在线</t>
  </si>
  <si>
    <t>众安保险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</si>
</sst>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0.00"/>
  </numFmts>
  <fonts count="5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b/>
      <sz val="10"/>
      <name val="Arial"/>
      <charset val="134"/>
    </font>
    <font>
      <b/>
      <sz val="9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color indexed="0"/>
      <name val="Arial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Times New Roman"/>
      <charset val="134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1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7" borderId="13" applyNumberFormat="0" applyAlignment="0" applyProtection="0">
      <alignment vertical="center"/>
    </xf>
    <xf numFmtId="0" fontId="1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0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1" fillId="7" borderId="14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" fillId="0" borderId="0"/>
    <xf numFmtId="0" fontId="0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39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/>
    <xf numFmtId="0" fontId="0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6" fillId="6" borderId="13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7" fillId="8" borderId="15" applyNumberFormat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48" fillId="0" borderId="0">
      <alignment horizontal="left"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9" applyNumberFormat="0" applyFill="0" applyAlignment="0" applyProtection="0">
      <alignment vertical="center"/>
    </xf>
    <xf numFmtId="0" fontId="0" fillId="0" borderId="0"/>
    <xf numFmtId="0" fontId="39" fillId="31" borderId="0" applyNumberFormat="0" applyBorder="0" applyAlignment="0" applyProtection="0">
      <alignment vertical="center"/>
    </xf>
    <xf numFmtId="0" fontId="0" fillId="0" borderId="0"/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0" fillId="0" borderId="17" applyNumberFormat="0" applyFill="0" applyAlignment="0" applyProtection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124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135" applyFont="1" applyBorder="1" applyAlignment="1">
      <alignment horizontal="center"/>
    </xf>
    <xf numFmtId="2" fontId="5" fillId="0" borderId="4" xfId="0" applyNumberFormat="1" applyFont="1" applyFill="1" applyBorder="1" applyAlignment="1"/>
    <xf numFmtId="176" fontId="5" fillId="0" borderId="4" xfId="135" applyNumberFormat="1" applyFont="1" applyBorder="1"/>
    <xf numFmtId="176" fontId="2" fillId="0" borderId="4" xfId="0" applyNumberFormat="1" applyFont="1" applyFill="1" applyBorder="1" applyAlignment="1">
      <alignment vertical="center"/>
    </xf>
    <xf numFmtId="0" fontId="6" fillId="0" borderId="0" xfId="135" applyFont="1" applyBorder="1" applyAlignment="1">
      <alignment horizontal="center"/>
    </xf>
    <xf numFmtId="2" fontId="6" fillId="0" borderId="0" xfId="135" applyNumberFormat="1" applyFont="1" applyBorder="1"/>
    <xf numFmtId="176" fontId="6" fillId="0" borderId="0" xfId="135" applyNumberFormat="1" applyFont="1" applyBorder="1"/>
    <xf numFmtId="176" fontId="1" fillId="0" borderId="0" xfId="0" applyNumberFormat="1" applyFont="1" applyFill="1" applyBorder="1" applyAlignment="1">
      <alignment vertical="center"/>
    </xf>
    <xf numFmtId="10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0" fontId="2" fillId="0" borderId="3" xfId="124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124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/>
    </xf>
    <xf numFmtId="2" fontId="10" fillId="3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146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0" fontId="11" fillId="0" borderId="3" xfId="146" applyNumberFormat="1" applyFont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/>
    </xf>
    <xf numFmtId="176" fontId="5" fillId="0" borderId="3" xfId="135" applyNumberFormat="1" applyFont="1" applyBorder="1" applyAlignment="1">
      <alignment horizontal="center"/>
    </xf>
    <xf numFmtId="176" fontId="11" fillId="0" borderId="3" xfId="0" applyNumberFormat="1" applyFont="1" applyFill="1" applyBorder="1" applyAlignment="1">
      <alignment horizontal="center" vertical="center"/>
    </xf>
    <xf numFmtId="176" fontId="6" fillId="0" borderId="3" xfId="135" applyNumberFormat="1" applyFont="1" applyBorder="1" applyAlignment="1">
      <alignment horizontal="center"/>
    </xf>
    <xf numFmtId="176" fontId="3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10" fontId="8" fillId="0" borderId="3" xfId="124" applyNumberFormat="1" applyFont="1" applyFill="1" applyBorder="1" applyAlignment="1">
      <alignment horizontal="center" vertical="center" wrapText="1"/>
    </xf>
    <xf numFmtId="10" fontId="8" fillId="2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/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/>
    <xf numFmtId="0" fontId="12" fillId="0" borderId="3" xfId="0" applyNumberFormat="1" applyFont="1" applyFill="1" applyBorder="1" applyAlignment="1" applyProtection="1">
      <alignment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4" borderId="3" xfId="0" applyNumberFormat="1" applyFont="1" applyFill="1" applyBorder="1" applyAlignment="1" applyProtection="1">
      <alignment horizontal="center" vertical="center" wrapText="1"/>
    </xf>
    <xf numFmtId="49" fontId="15" fillId="0" borderId="3" xfId="112" applyNumberFormat="1" applyFont="1" applyFill="1" applyBorder="1" applyAlignment="1">
      <alignment horizontal="right" vertical="center" wrapText="1"/>
    </xf>
    <xf numFmtId="178" fontId="16" fillId="0" borderId="6" xfId="146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/>
    <xf numFmtId="177" fontId="17" fillId="4" borderId="3" xfId="0" applyNumberFormat="1" applyFont="1" applyFill="1" applyBorder="1" applyAlignment="1"/>
    <xf numFmtId="49" fontId="15" fillId="0" borderId="4" xfId="112" applyNumberFormat="1" applyFont="1" applyFill="1" applyBorder="1" applyAlignment="1">
      <alignment horizontal="right" vertical="center" wrapText="1"/>
    </xf>
    <xf numFmtId="178" fontId="16" fillId="0" borderId="7" xfId="146" applyNumberFormat="1" applyFont="1" applyFill="1" applyBorder="1" applyAlignment="1">
      <alignment horizontal="righ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178" fontId="18" fillId="0" borderId="9" xfId="146" applyNumberFormat="1" applyFont="1" applyFill="1" applyBorder="1" applyAlignment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177" fontId="17" fillId="0" borderId="0" xfId="0" applyNumberFormat="1" applyFont="1" applyFill="1" applyBorder="1" applyAlignment="1"/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20% - 强调文字颜色 4 5" xfId="52"/>
    <cellStyle name="注释 5" xfId="53"/>
    <cellStyle name="常规 5 2" xfId="54"/>
    <cellStyle name="强调文字颜色 4 2" xfId="55"/>
    <cellStyle name="20% - 强调文字颜色 5 3" xfId="56"/>
    <cellStyle name="40% - 强调文字颜色 4 2" xfId="57"/>
    <cellStyle name="好 2" xfId="58"/>
    <cellStyle name="20% - 强调文字颜色 1 5" xfId="59"/>
    <cellStyle name="40% - 强调文字颜色 6 5" xfId="60"/>
    <cellStyle name="20% - 强调文字颜色 3 3" xfId="61"/>
    <cellStyle name="20% - 强调文字颜色 6 4" xfId="62"/>
    <cellStyle name="60% - 强调文字颜色 4 2" xfId="63"/>
    <cellStyle name="输出 2" xfId="64"/>
    <cellStyle name="适中 2" xfId="65"/>
    <cellStyle name="常规 4" xfId="66"/>
    <cellStyle name="20% - 强调文字颜色 4 3" xfId="67"/>
    <cellStyle name="40% - 强调文字颜色 2 4" xfId="68"/>
    <cellStyle name="40% - 强调文字颜色 2 5" xfId="69"/>
    <cellStyle name="60% - 强调文字颜色 3 2" xfId="70"/>
    <cellStyle name="20% - 强调文字颜色 5 4" xfId="71"/>
    <cellStyle name="20% - 强调文字颜色 5 5" xfId="72"/>
    <cellStyle name="20% - 强调文字颜色 2 4" xfId="73"/>
    <cellStyle name="常规 8" xfId="74"/>
    <cellStyle name="常规 5" xfId="75"/>
    <cellStyle name="60% - 强调文字颜色 2 2" xfId="76"/>
    <cellStyle name="20% - 强调文字颜色 4 4" xfId="77"/>
    <cellStyle name="20% - 强调文字颜色 6 3" xfId="78"/>
    <cellStyle name="20% - 强调文字颜色 5 2" xfId="79"/>
    <cellStyle name="常规 3 2" xfId="80"/>
    <cellStyle name="标题 3 2" xfId="81"/>
    <cellStyle name="差 2" xfId="82"/>
    <cellStyle name="20% - 强调文字颜色 2 3" xfId="83"/>
    <cellStyle name="标题 5" xfId="84"/>
    <cellStyle name="20% - 强调文字颜色 6 5" xfId="85"/>
    <cellStyle name="20% - 强调文字颜色 2 5" xfId="86"/>
    <cellStyle name="20% - 强调文字颜色 3 2" xfId="87"/>
    <cellStyle name="常规 2 4" xfId="88"/>
    <cellStyle name="20% - 强调文字颜色 3 4" xfId="89"/>
    <cellStyle name="60% - 强调文字颜色 1 2" xfId="90"/>
    <cellStyle name="注释 3" xfId="91"/>
    <cellStyle name="注释 4" xfId="92"/>
    <cellStyle name="20% - 强调文字颜色 3 5" xfId="93"/>
    <cellStyle name="40% - 强调文字颜色 3 2" xfId="94"/>
    <cellStyle name="强调文字颜色 3 2" xfId="95"/>
    <cellStyle name="输入 2" xfId="96"/>
    <cellStyle name="40% - 强调文字颜色 2 2" xfId="97"/>
    <cellStyle name="强调文字颜色 2 2" xfId="98"/>
    <cellStyle name="40% - 强调文字颜色 2 3" xfId="99"/>
    <cellStyle name="40% - 强调文字颜色 3 3" xfId="100"/>
    <cellStyle name="40% - 强调文字颜色 3 4" xfId="101"/>
    <cellStyle name="20% - 强调文字颜色 1 3" xfId="102"/>
    <cellStyle name="40% - 强调文字颜色 5 5" xfId="103"/>
    <cellStyle name="标题 4 2" xfId="104"/>
    <cellStyle name="常规 4 2" xfId="105"/>
    <cellStyle name="常规 11" xfId="106"/>
    <cellStyle name="40% - 强调文字颜色 3 5" xfId="107"/>
    <cellStyle name="好_RESULTS" xfId="108"/>
    <cellStyle name="常规 12" xfId="109"/>
    <cellStyle name="检查单元格 2" xfId="110"/>
    <cellStyle name="注释 2" xfId="111"/>
    <cellStyle name="常规_sdytjz2_1.1006鲁－烟台市－产险.与市场份额情况表（2007" xfId="112"/>
    <cellStyle name="警告文本 2" xfId="113"/>
    <cellStyle name="链接单元格 2" xfId="114"/>
    <cellStyle name="强调文字颜色 5 2" xfId="115"/>
    <cellStyle name="40% - 强调文字颜色 5 2" xfId="116"/>
    <cellStyle name="常规 9" xfId="117"/>
    <cellStyle name="40% - 强调文字颜色 1 4" xfId="118"/>
    <cellStyle name="40% - 强调文字颜色 1 3" xfId="119"/>
    <cellStyle name="解释性文本 2" xfId="120"/>
    <cellStyle name="40% - 强调文字颜色 1 2" xfId="121"/>
    <cellStyle name="强调文字颜色 1 2" xfId="122"/>
    <cellStyle name="40% - 强调文字颜色 1 5" xfId="123"/>
    <cellStyle name="常规 3" xfId="124"/>
    <cellStyle name="20% - 强调文字颜色 4 2" xfId="125"/>
    <cellStyle name="40% - 强调文字颜色 6 4" xfId="126"/>
    <cellStyle name="20% - 强调文字颜色 6 2" xfId="127"/>
    <cellStyle name="60% - 强调文字颜色 6 2" xfId="128"/>
    <cellStyle name="40% - 强调文字颜色 4 4" xfId="129"/>
    <cellStyle name="40% - 强调文字颜色 6 2" xfId="130"/>
    <cellStyle name="差_RESULTS" xfId="131"/>
    <cellStyle name="强调文字颜色 6 2" xfId="132"/>
    <cellStyle name="常规 2 2" xfId="133"/>
    <cellStyle name="标题 2 2" xfId="134"/>
    <cellStyle name="常规 10" xfId="135"/>
    <cellStyle name="60% - 强调文字颜色 5 2" xfId="136"/>
    <cellStyle name="常规 3 3" xfId="137"/>
    <cellStyle name="20% - 强调文字颜色 2 2" xfId="138"/>
    <cellStyle name="40% - 强调文字颜色 4 3" xfId="139"/>
    <cellStyle name="20% - 强调文字颜色 1 4" xfId="140"/>
    <cellStyle name="40% - 强调文字颜色 5 3" xfId="141"/>
    <cellStyle name="40% - 强调文字颜色 5 4" xfId="142"/>
    <cellStyle name="标题 1 2" xfId="143"/>
    <cellStyle name="40% - 强调文字颜色 4 5" xfId="144"/>
    <cellStyle name="40% - 强调文字颜色 6 3" xfId="145"/>
    <cellStyle name="常规 2" xfId="146"/>
    <cellStyle name="常规 2 3" xfId="147"/>
    <cellStyle name="汇总 2" xfId="148"/>
    <cellStyle name="常规 7" xfId="1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opLeftCell="A7" workbookViewId="0">
      <selection activeCell="B3" sqref="B3:H42"/>
    </sheetView>
  </sheetViews>
  <sheetFormatPr defaultColWidth="8" defaultRowHeight="13.5"/>
  <cols>
    <col min="1" max="1" width="8" style="58"/>
    <col min="2" max="2" width="22" style="58" customWidth="1"/>
    <col min="3" max="3" width="20" style="58" customWidth="1"/>
    <col min="4" max="7" width="13.75" style="58" customWidth="1"/>
    <col min="8" max="9" width="13.25" style="58" customWidth="1"/>
    <col min="10" max="16384" width="8" style="58"/>
  </cols>
  <sheetData>
    <row r="1" ht="14.25" spans="2:12">
      <c r="B1" s="59" t="s">
        <v>0</v>
      </c>
      <c r="C1" s="59"/>
      <c r="D1" s="60" t="s">
        <v>1</v>
      </c>
      <c r="G1" s="61" t="s">
        <v>2</v>
      </c>
      <c r="K1" s="58" t="s">
        <v>3</v>
      </c>
      <c r="L1" s="58" t="s">
        <v>4</v>
      </c>
    </row>
    <row r="2" s="57" customFormat="1" ht="67.5" spans="2:13">
      <c r="B2" s="62" t="s">
        <v>5</v>
      </c>
      <c r="C2" s="63" t="s">
        <v>6</v>
      </c>
      <c r="D2" s="63" t="s">
        <v>7</v>
      </c>
      <c r="E2" s="63" t="s">
        <v>8</v>
      </c>
      <c r="F2" s="63" t="s">
        <v>9</v>
      </c>
      <c r="G2" s="63" t="s">
        <v>10</v>
      </c>
      <c r="H2" s="64" t="s">
        <v>11</v>
      </c>
      <c r="I2" s="73"/>
      <c r="K2" s="57" t="s">
        <v>12</v>
      </c>
      <c r="L2" s="57" t="s">
        <v>13</v>
      </c>
      <c r="M2" s="57" t="s">
        <v>14</v>
      </c>
    </row>
    <row r="3" spans="1:12">
      <c r="A3" s="58" t="str">
        <f t="shared" ref="A3:A41" si="0">LEFT(B3,2)</f>
        <v>人保</v>
      </c>
      <c r="B3" s="65" t="s">
        <v>15</v>
      </c>
      <c r="C3" s="66">
        <f>632755.97</f>
        <v>632755.97</v>
      </c>
      <c r="D3" s="66">
        <v>656120.161014</v>
      </c>
      <c r="E3" s="66">
        <f t="shared" ref="E3:E42" si="1">C3+D3</f>
        <v>1288876.131014</v>
      </c>
      <c r="F3" s="67">
        <v>240</v>
      </c>
      <c r="G3" s="66">
        <f>E3/10000</f>
        <v>128.8876131014</v>
      </c>
      <c r="H3" s="68">
        <f t="shared" ref="H3:H42" si="2">F3/G3</f>
        <v>1.86208739711228</v>
      </c>
      <c r="I3" s="74"/>
      <c r="J3" s="58" t="str">
        <f t="shared" ref="J3:J37" si="3">LEFT(K3,2)</f>
        <v>安邦</v>
      </c>
      <c r="K3" s="58" t="s">
        <v>16</v>
      </c>
      <c r="L3" s="58">
        <v>14</v>
      </c>
    </row>
    <row r="4" spans="1:12">
      <c r="A4" s="58" t="str">
        <f t="shared" si="0"/>
        <v>大地</v>
      </c>
      <c r="B4" s="69" t="s">
        <v>17</v>
      </c>
      <c r="C4" s="70">
        <f>100726.38</f>
        <v>100726.38</v>
      </c>
      <c r="D4" s="70">
        <v>101256.335962</v>
      </c>
      <c r="E4" s="70">
        <f t="shared" si="1"/>
        <v>201982.715962</v>
      </c>
      <c r="F4" s="67">
        <v>172</v>
      </c>
      <c r="G4" s="66">
        <f t="shared" ref="G4:G42" si="4">E4/10000</f>
        <v>20.1982715962</v>
      </c>
      <c r="H4" s="68">
        <f t="shared" si="2"/>
        <v>8.51558011688283</v>
      </c>
      <c r="I4" s="74"/>
      <c r="J4" s="58" t="str">
        <f t="shared" si="3"/>
        <v>安诚</v>
      </c>
      <c r="K4" s="58" t="s">
        <v>18</v>
      </c>
      <c r="L4" s="58">
        <v>12</v>
      </c>
    </row>
    <row r="5" spans="1:12">
      <c r="A5" s="58" t="str">
        <f t="shared" si="0"/>
        <v>中华</v>
      </c>
      <c r="B5" s="69" t="s">
        <v>19</v>
      </c>
      <c r="C5" s="70">
        <f>125764.11</f>
        <v>125764.11</v>
      </c>
      <c r="D5" s="70">
        <v>120423.269282</v>
      </c>
      <c r="E5" s="70">
        <f t="shared" si="1"/>
        <v>246187.379282</v>
      </c>
      <c r="F5" s="67">
        <v>45</v>
      </c>
      <c r="G5" s="66">
        <f t="shared" si="4"/>
        <v>24.6187379282</v>
      </c>
      <c r="H5" s="68">
        <f t="shared" si="2"/>
        <v>1.82787599150052</v>
      </c>
      <c r="I5" s="74"/>
      <c r="J5" s="58" t="str">
        <f t="shared" si="3"/>
        <v>安华</v>
      </c>
      <c r="K5" s="58" t="s">
        <v>20</v>
      </c>
      <c r="L5" s="58">
        <v>38</v>
      </c>
    </row>
    <row r="6" spans="1:12">
      <c r="A6" s="58" t="str">
        <f t="shared" si="0"/>
        <v>太保</v>
      </c>
      <c r="B6" s="69" t="s">
        <v>21</v>
      </c>
      <c r="C6" s="70">
        <f>212276.09</f>
        <v>212276.09</v>
      </c>
      <c r="D6" s="70">
        <v>196211.337258</v>
      </c>
      <c r="E6" s="70">
        <f t="shared" si="1"/>
        <v>408487.427258</v>
      </c>
      <c r="F6" s="67">
        <v>52</v>
      </c>
      <c r="G6" s="66">
        <f t="shared" si="4"/>
        <v>40.8487427258</v>
      </c>
      <c r="H6" s="68">
        <f t="shared" si="2"/>
        <v>1.27298899623554</v>
      </c>
      <c r="I6" s="74"/>
      <c r="J6" s="58" t="str">
        <f t="shared" si="3"/>
        <v>安盛</v>
      </c>
      <c r="K6" s="58" t="s">
        <v>22</v>
      </c>
      <c r="L6" s="58">
        <v>7</v>
      </c>
    </row>
    <row r="7" spans="1:12">
      <c r="A7" s="58" t="str">
        <f t="shared" si="0"/>
        <v>平安</v>
      </c>
      <c r="B7" s="69" t="s">
        <v>23</v>
      </c>
      <c r="C7" s="70">
        <f>396366.95</f>
        <v>396366.95</v>
      </c>
      <c r="D7" s="70">
        <v>382518.698933</v>
      </c>
      <c r="E7" s="70">
        <f t="shared" si="1"/>
        <v>778885.648933</v>
      </c>
      <c r="F7" s="67">
        <v>129</v>
      </c>
      <c r="G7" s="66">
        <f t="shared" si="4"/>
        <v>77.8885648933</v>
      </c>
      <c r="H7" s="68">
        <f t="shared" si="2"/>
        <v>1.65621231019878</v>
      </c>
      <c r="I7" s="74"/>
      <c r="J7" s="58" t="str">
        <f t="shared" si="3"/>
        <v>渤海</v>
      </c>
      <c r="K7" s="58" t="s">
        <v>24</v>
      </c>
      <c r="L7" s="58">
        <v>13</v>
      </c>
    </row>
    <row r="8" spans="1:12">
      <c r="A8" s="58" t="str">
        <f t="shared" si="0"/>
        <v>华泰</v>
      </c>
      <c r="B8" s="69" t="s">
        <v>25</v>
      </c>
      <c r="C8" s="70">
        <f>13517.3</f>
        <v>13517.3</v>
      </c>
      <c r="D8" s="70">
        <v>14294.985174</v>
      </c>
      <c r="E8" s="70">
        <f t="shared" si="1"/>
        <v>27812.285174</v>
      </c>
      <c r="F8" s="67">
        <v>11</v>
      </c>
      <c r="G8" s="66">
        <f t="shared" si="4"/>
        <v>2.7812285174</v>
      </c>
      <c r="H8" s="68">
        <f t="shared" si="2"/>
        <v>3.95508672918514</v>
      </c>
      <c r="I8" s="74"/>
      <c r="J8" s="58" t="str">
        <f t="shared" si="3"/>
        <v>大地</v>
      </c>
      <c r="K8" s="58" t="s">
        <v>26</v>
      </c>
      <c r="L8" s="58">
        <v>172</v>
      </c>
    </row>
    <row r="9" spans="1:12">
      <c r="A9" s="58" t="str">
        <f t="shared" si="0"/>
        <v>天安</v>
      </c>
      <c r="B9" s="69" t="s">
        <v>27</v>
      </c>
      <c r="C9" s="70">
        <f>54360.5</f>
        <v>54360.5</v>
      </c>
      <c r="D9" s="70">
        <v>54512.165328</v>
      </c>
      <c r="E9" s="70">
        <f t="shared" si="1"/>
        <v>108872.665328</v>
      </c>
      <c r="F9" s="67">
        <v>52</v>
      </c>
      <c r="G9" s="66">
        <f t="shared" si="4"/>
        <v>10.8872665328</v>
      </c>
      <c r="H9" s="68">
        <f t="shared" si="2"/>
        <v>4.77622182237754</v>
      </c>
      <c r="I9" s="74"/>
      <c r="J9" s="58" t="str">
        <f t="shared" si="3"/>
        <v>鼎和</v>
      </c>
      <c r="K9" s="58" t="s">
        <v>28</v>
      </c>
      <c r="L9" s="58">
        <v>4</v>
      </c>
    </row>
    <row r="10" spans="1:12">
      <c r="A10" s="58" t="str">
        <f t="shared" si="0"/>
        <v>华安</v>
      </c>
      <c r="B10" s="69" t="s">
        <v>29</v>
      </c>
      <c r="C10" s="70">
        <f>28707.99</f>
        <v>28707.99</v>
      </c>
      <c r="D10" s="70">
        <v>30817.846459</v>
      </c>
      <c r="E10" s="70">
        <f t="shared" si="1"/>
        <v>59525.836459</v>
      </c>
      <c r="F10" s="67">
        <v>39</v>
      </c>
      <c r="G10" s="66">
        <f t="shared" si="4"/>
        <v>5.9525836459</v>
      </c>
      <c r="H10" s="68">
        <f t="shared" si="2"/>
        <v>6.55177689554388</v>
      </c>
      <c r="I10" s="74"/>
      <c r="J10" s="58" t="str">
        <f t="shared" si="3"/>
        <v>都邦</v>
      </c>
      <c r="K10" s="58" t="s">
        <v>30</v>
      </c>
      <c r="L10" s="58">
        <v>8</v>
      </c>
    </row>
    <row r="11" spans="1:12">
      <c r="A11" s="58" t="str">
        <f t="shared" si="0"/>
        <v>永安</v>
      </c>
      <c r="B11" s="69" t="s">
        <v>31</v>
      </c>
      <c r="C11" s="70">
        <f>28256.37</f>
        <v>28256.37</v>
      </c>
      <c r="D11" s="70">
        <v>35073.150251</v>
      </c>
      <c r="E11" s="70">
        <f t="shared" si="1"/>
        <v>63329.520251</v>
      </c>
      <c r="F11" s="67">
        <v>14</v>
      </c>
      <c r="G11" s="66">
        <f t="shared" si="4"/>
        <v>6.3329520251</v>
      </c>
      <c r="H11" s="68">
        <f t="shared" si="2"/>
        <v>2.21065941199498</v>
      </c>
      <c r="I11" s="74"/>
      <c r="J11" s="58" t="str">
        <f t="shared" si="3"/>
        <v>国任</v>
      </c>
      <c r="K11" s="58" t="s">
        <v>32</v>
      </c>
      <c r="L11" s="58">
        <v>8</v>
      </c>
    </row>
    <row r="12" spans="1:12">
      <c r="A12" s="58" t="str">
        <f t="shared" si="0"/>
        <v>太平</v>
      </c>
      <c r="B12" s="69" t="s">
        <v>33</v>
      </c>
      <c r="C12" s="70">
        <f>80978.7</f>
        <v>80978.7</v>
      </c>
      <c r="D12" s="70">
        <v>80321.035462</v>
      </c>
      <c r="E12" s="70">
        <f t="shared" si="1"/>
        <v>161299.735462</v>
      </c>
      <c r="F12" s="67">
        <v>19</v>
      </c>
      <c r="G12" s="66">
        <f t="shared" si="4"/>
        <v>16.1299735462</v>
      </c>
      <c r="H12" s="68">
        <f t="shared" si="2"/>
        <v>1.17793125609162</v>
      </c>
      <c r="I12" s="74"/>
      <c r="J12" s="58" t="str">
        <f t="shared" si="3"/>
        <v>国寿</v>
      </c>
      <c r="K12" s="58" t="s">
        <v>34</v>
      </c>
      <c r="L12" s="58">
        <v>182</v>
      </c>
    </row>
    <row r="13" spans="1:12">
      <c r="A13" s="58" t="str">
        <f t="shared" si="0"/>
        <v>亚太</v>
      </c>
      <c r="B13" s="69" t="s">
        <v>35</v>
      </c>
      <c r="C13" s="70">
        <f>36711.83</f>
        <v>36711.83</v>
      </c>
      <c r="D13" s="70">
        <v>38858.330736</v>
      </c>
      <c r="E13" s="70">
        <f t="shared" si="1"/>
        <v>75570.160736</v>
      </c>
      <c r="F13" s="67">
        <v>26</v>
      </c>
      <c r="G13" s="66">
        <f t="shared" si="4"/>
        <v>7.5570160736</v>
      </c>
      <c r="H13" s="68">
        <f t="shared" si="2"/>
        <v>3.44051140645704</v>
      </c>
      <c r="I13" s="74"/>
      <c r="J13" s="58" t="str">
        <f t="shared" si="3"/>
        <v>华安</v>
      </c>
      <c r="K13" s="58" t="s">
        <v>36</v>
      </c>
      <c r="L13" s="58">
        <v>39</v>
      </c>
    </row>
    <row r="14" spans="1:12">
      <c r="A14" s="58" t="str">
        <f t="shared" si="0"/>
        <v>中银</v>
      </c>
      <c r="B14" s="69" t="s">
        <v>37</v>
      </c>
      <c r="C14" s="70">
        <f>2696.55</f>
        <v>2696.55</v>
      </c>
      <c r="D14" s="70">
        <v>2964.469365</v>
      </c>
      <c r="E14" s="70">
        <f t="shared" si="1"/>
        <v>5661.019365</v>
      </c>
      <c r="F14" s="67">
        <v>1</v>
      </c>
      <c r="G14" s="66">
        <f t="shared" si="4"/>
        <v>0.5661019365</v>
      </c>
      <c r="H14" s="68">
        <f t="shared" si="2"/>
        <v>1.76646631202612</v>
      </c>
      <c r="I14" s="74"/>
      <c r="J14" s="58" t="str">
        <f t="shared" si="3"/>
        <v>华海</v>
      </c>
      <c r="K14" s="58" t="s">
        <v>38</v>
      </c>
      <c r="L14" s="58">
        <v>39</v>
      </c>
    </row>
    <row r="15" spans="1:12">
      <c r="A15" s="58" t="str">
        <f t="shared" si="0"/>
        <v>利宝</v>
      </c>
      <c r="B15" s="69" t="s">
        <v>39</v>
      </c>
      <c r="C15" s="70">
        <f>11799.96</f>
        <v>11799.96</v>
      </c>
      <c r="D15" s="70">
        <v>12408.1278</v>
      </c>
      <c r="E15" s="70">
        <f t="shared" si="1"/>
        <v>24208.0878</v>
      </c>
      <c r="F15" s="67">
        <v>12</v>
      </c>
      <c r="G15" s="66">
        <f t="shared" si="4"/>
        <v>2.42080878</v>
      </c>
      <c r="H15" s="68">
        <f t="shared" si="2"/>
        <v>4.95702101675292</v>
      </c>
      <c r="I15" s="74"/>
      <c r="J15" s="58" t="str">
        <f t="shared" si="3"/>
        <v>华泰</v>
      </c>
      <c r="K15" s="58" t="s">
        <v>40</v>
      </c>
      <c r="L15" s="58">
        <v>11</v>
      </c>
    </row>
    <row r="16" spans="1:12">
      <c r="A16" s="58" t="str">
        <f t="shared" si="0"/>
        <v>永诚</v>
      </c>
      <c r="B16" s="69" t="s">
        <v>41</v>
      </c>
      <c r="C16" s="70">
        <f>8998.82</f>
        <v>8998.82</v>
      </c>
      <c r="D16" s="70">
        <v>10479.734403</v>
      </c>
      <c r="E16" s="70">
        <f t="shared" si="1"/>
        <v>19478.554403</v>
      </c>
      <c r="F16" s="67">
        <v>17</v>
      </c>
      <c r="G16" s="66">
        <f t="shared" si="4"/>
        <v>1.9478554403</v>
      </c>
      <c r="H16" s="68">
        <f t="shared" si="2"/>
        <v>8.72754704906732</v>
      </c>
      <c r="I16" s="74"/>
      <c r="J16" s="58" t="str">
        <f t="shared" si="3"/>
        <v>利宝</v>
      </c>
      <c r="K16" s="58" t="s">
        <v>42</v>
      </c>
      <c r="L16" s="58">
        <v>12</v>
      </c>
    </row>
    <row r="17" spans="1:12">
      <c r="A17" s="58" t="str">
        <f t="shared" si="0"/>
        <v>安邦</v>
      </c>
      <c r="B17" s="69" t="s">
        <v>43</v>
      </c>
      <c r="C17" s="70">
        <f>5259.88</f>
        <v>5259.88</v>
      </c>
      <c r="D17" s="70">
        <v>6627.216375</v>
      </c>
      <c r="E17" s="70">
        <f t="shared" si="1"/>
        <v>11887.096375</v>
      </c>
      <c r="F17" s="67">
        <v>14</v>
      </c>
      <c r="G17" s="66">
        <f t="shared" si="4"/>
        <v>1.1887096375</v>
      </c>
      <c r="H17" s="68">
        <f t="shared" si="2"/>
        <v>11.7774766506005</v>
      </c>
      <c r="I17" s="74"/>
      <c r="J17" s="58" t="str">
        <f t="shared" si="3"/>
        <v>平安</v>
      </c>
      <c r="K17" s="58" t="s">
        <v>44</v>
      </c>
      <c r="L17" s="58">
        <v>79</v>
      </c>
    </row>
    <row r="18" spans="1:12">
      <c r="A18" s="58" t="str">
        <f t="shared" si="0"/>
        <v>国任</v>
      </c>
      <c r="B18" s="69" t="s">
        <v>45</v>
      </c>
      <c r="C18" s="70">
        <f>16135.94</f>
        <v>16135.94</v>
      </c>
      <c r="D18" s="70">
        <v>26756.176732</v>
      </c>
      <c r="E18" s="70">
        <f t="shared" si="1"/>
        <v>42892.116732</v>
      </c>
      <c r="F18" s="67">
        <v>8</v>
      </c>
      <c r="G18" s="66">
        <f t="shared" si="4"/>
        <v>4.2892116732</v>
      </c>
      <c r="H18" s="68">
        <f t="shared" si="2"/>
        <v>1.86514460220881</v>
      </c>
      <c r="I18" s="74"/>
      <c r="J18" s="58" t="str">
        <f t="shared" si="3"/>
        <v>平安</v>
      </c>
      <c r="K18" s="58" t="s">
        <v>46</v>
      </c>
      <c r="L18" s="58">
        <v>50</v>
      </c>
    </row>
    <row r="19" spans="1:12">
      <c r="A19" s="58" t="str">
        <f t="shared" si="0"/>
        <v>安华</v>
      </c>
      <c r="B19" s="69" t="s">
        <v>47</v>
      </c>
      <c r="C19" s="70">
        <f>51605.66</f>
        <v>51605.66</v>
      </c>
      <c r="D19" s="70">
        <v>38118.262784</v>
      </c>
      <c r="E19" s="70">
        <f t="shared" si="1"/>
        <v>89723.922784</v>
      </c>
      <c r="F19" s="67">
        <v>38</v>
      </c>
      <c r="G19" s="66">
        <f t="shared" si="4"/>
        <v>8.9723922784</v>
      </c>
      <c r="H19" s="68">
        <f t="shared" si="2"/>
        <v>4.23521384497205</v>
      </c>
      <c r="I19" s="74"/>
      <c r="J19" s="58" t="str">
        <f t="shared" si="3"/>
        <v>人保</v>
      </c>
      <c r="K19" s="58" t="s">
        <v>48</v>
      </c>
      <c r="L19" s="58">
        <v>240</v>
      </c>
    </row>
    <row r="20" spans="1:12">
      <c r="A20" s="58" t="str">
        <f t="shared" si="0"/>
        <v>安盛</v>
      </c>
      <c r="B20" s="69" t="s">
        <v>49</v>
      </c>
      <c r="C20" s="70">
        <f>53377.24</f>
        <v>53377.24</v>
      </c>
      <c r="D20" s="70">
        <v>76349.807459</v>
      </c>
      <c r="E20" s="70">
        <f t="shared" si="1"/>
        <v>129727.047459</v>
      </c>
      <c r="F20" s="67">
        <v>7</v>
      </c>
      <c r="G20" s="66">
        <f t="shared" si="4"/>
        <v>12.9727047459</v>
      </c>
      <c r="H20" s="68">
        <f t="shared" si="2"/>
        <v>0.539594489900985</v>
      </c>
      <c r="I20" s="74"/>
      <c r="J20" s="58" t="str">
        <f t="shared" si="3"/>
        <v>太平</v>
      </c>
      <c r="K20" s="58" t="s">
        <v>50</v>
      </c>
      <c r="L20" s="58">
        <v>19</v>
      </c>
    </row>
    <row r="21" spans="1:12">
      <c r="A21" s="58" t="str">
        <f t="shared" si="0"/>
        <v>阳光</v>
      </c>
      <c r="B21" s="69" t="s">
        <v>51</v>
      </c>
      <c r="C21" s="70">
        <f>163439.43</f>
        <v>163439.43</v>
      </c>
      <c r="D21" s="70">
        <v>137317.962754</v>
      </c>
      <c r="E21" s="70">
        <f t="shared" si="1"/>
        <v>300757.392754</v>
      </c>
      <c r="F21" s="67">
        <v>52</v>
      </c>
      <c r="G21" s="66">
        <f t="shared" si="4"/>
        <v>30.0757392754</v>
      </c>
      <c r="H21" s="68">
        <f t="shared" si="2"/>
        <v>1.72896830644268</v>
      </c>
      <c r="I21" s="74"/>
      <c r="J21" s="58" t="str">
        <f t="shared" si="3"/>
        <v>太平</v>
      </c>
      <c r="K21" s="58" t="s">
        <v>52</v>
      </c>
      <c r="L21" s="58">
        <v>52</v>
      </c>
    </row>
    <row r="22" spans="1:12">
      <c r="A22" s="58" t="str">
        <f t="shared" si="0"/>
        <v>都邦</v>
      </c>
      <c r="B22" s="69" t="s">
        <v>53</v>
      </c>
      <c r="C22" s="70">
        <f>9125.58</f>
        <v>9125.58</v>
      </c>
      <c r="D22" s="70">
        <v>8283.326634</v>
      </c>
      <c r="E22" s="70">
        <f t="shared" si="1"/>
        <v>17408.906634</v>
      </c>
      <c r="F22" s="67">
        <v>8</v>
      </c>
      <c r="G22" s="66">
        <f t="shared" si="4"/>
        <v>1.7408906634</v>
      </c>
      <c r="H22" s="68">
        <f t="shared" si="2"/>
        <v>4.59534890282875</v>
      </c>
      <c r="I22" s="74"/>
      <c r="J22" s="58" t="str">
        <f t="shared" si="3"/>
        <v>泰山</v>
      </c>
      <c r="K22" s="58" t="s">
        <v>54</v>
      </c>
      <c r="L22" s="58">
        <v>7</v>
      </c>
    </row>
    <row r="23" spans="1:12">
      <c r="A23" s="58" t="str">
        <f t="shared" si="0"/>
        <v>渤海</v>
      </c>
      <c r="B23" s="69" t="s">
        <v>55</v>
      </c>
      <c r="C23" s="70">
        <f>20615.63</f>
        <v>20615.63</v>
      </c>
      <c r="D23" s="70">
        <v>21729.904454</v>
      </c>
      <c r="E23" s="70">
        <f t="shared" si="1"/>
        <v>42345.534454</v>
      </c>
      <c r="F23" s="67">
        <v>13</v>
      </c>
      <c r="G23" s="66">
        <f t="shared" si="4"/>
        <v>4.2345534454</v>
      </c>
      <c r="H23" s="68">
        <f t="shared" si="2"/>
        <v>3.06998132568663</v>
      </c>
      <c r="I23" s="74"/>
      <c r="J23" s="58" t="str">
        <f t="shared" si="3"/>
        <v>天安</v>
      </c>
      <c r="K23" s="58" t="s">
        <v>56</v>
      </c>
      <c r="L23" s="58">
        <v>52</v>
      </c>
    </row>
    <row r="24" spans="1:12">
      <c r="A24" s="58" t="str">
        <f t="shared" si="0"/>
        <v>国寿</v>
      </c>
      <c r="B24" s="69" t="s">
        <v>57</v>
      </c>
      <c r="C24" s="70">
        <f>170841.91</f>
        <v>170841.91</v>
      </c>
      <c r="D24" s="70">
        <v>163294.665289</v>
      </c>
      <c r="E24" s="70">
        <f t="shared" si="1"/>
        <v>334136.575289</v>
      </c>
      <c r="F24" s="67">
        <v>182</v>
      </c>
      <c r="G24" s="66">
        <f t="shared" si="4"/>
        <v>33.4136575289</v>
      </c>
      <c r="H24" s="68">
        <f t="shared" si="2"/>
        <v>5.44687452556145</v>
      </c>
      <c r="I24" s="74"/>
      <c r="J24" s="58" t="str">
        <f t="shared" si="3"/>
        <v>鑫安</v>
      </c>
      <c r="K24" s="58" t="s">
        <v>58</v>
      </c>
      <c r="L24" s="58">
        <v>1</v>
      </c>
    </row>
    <row r="25" spans="1:12">
      <c r="A25" s="58" t="str">
        <f t="shared" si="0"/>
        <v>安诚</v>
      </c>
      <c r="B25" s="69" t="s">
        <v>59</v>
      </c>
      <c r="C25" s="70">
        <f>27160.41</f>
        <v>27160.41</v>
      </c>
      <c r="D25" s="70">
        <v>26298.22358</v>
      </c>
      <c r="E25" s="70">
        <f t="shared" si="1"/>
        <v>53458.63358</v>
      </c>
      <c r="F25" s="67">
        <v>12</v>
      </c>
      <c r="G25" s="66">
        <f t="shared" si="4"/>
        <v>5.345863358</v>
      </c>
      <c r="H25" s="68">
        <f t="shared" si="2"/>
        <v>2.24472628580044</v>
      </c>
      <c r="I25" s="74"/>
      <c r="J25" s="58" t="str">
        <f t="shared" si="3"/>
        <v>亚太</v>
      </c>
      <c r="K25" s="58" t="s">
        <v>60</v>
      </c>
      <c r="L25" s="58">
        <v>26</v>
      </c>
    </row>
    <row r="26" spans="1:12">
      <c r="A26" s="58" t="str">
        <f t="shared" si="0"/>
        <v>长安</v>
      </c>
      <c r="B26" s="69" t="s">
        <v>61</v>
      </c>
      <c r="C26" s="70">
        <f>17266.22</f>
        <v>17266.22</v>
      </c>
      <c r="D26" s="70">
        <v>14810.836075</v>
      </c>
      <c r="E26" s="70">
        <f t="shared" si="1"/>
        <v>32077.056075</v>
      </c>
      <c r="F26" s="67">
        <v>6</v>
      </c>
      <c r="G26" s="66">
        <f t="shared" si="4"/>
        <v>3.2077056075</v>
      </c>
      <c r="H26" s="68">
        <f t="shared" si="2"/>
        <v>1.87049584162938</v>
      </c>
      <c r="I26" s="74"/>
      <c r="J26" s="58" t="str">
        <f t="shared" si="3"/>
        <v>阳光</v>
      </c>
      <c r="K26" s="58" t="s">
        <v>62</v>
      </c>
      <c r="L26" s="58">
        <v>52</v>
      </c>
    </row>
    <row r="27" spans="1:12">
      <c r="A27" s="58" t="str">
        <f t="shared" si="0"/>
        <v>国元</v>
      </c>
      <c r="B27" s="69" t="s">
        <v>63</v>
      </c>
      <c r="C27" s="70">
        <f>73.08</f>
        <v>73.08</v>
      </c>
      <c r="D27" s="70">
        <v>0</v>
      </c>
      <c r="E27" s="70">
        <f t="shared" si="1"/>
        <v>73.08</v>
      </c>
      <c r="F27" s="67">
        <v>0</v>
      </c>
      <c r="G27" s="66">
        <f t="shared" si="4"/>
        <v>0.007308</v>
      </c>
      <c r="H27" s="68">
        <f t="shared" si="2"/>
        <v>0</v>
      </c>
      <c r="I27" s="74"/>
      <c r="J27" s="58" t="str">
        <f t="shared" si="3"/>
        <v>英大</v>
      </c>
      <c r="K27" s="58" t="s">
        <v>64</v>
      </c>
      <c r="L27" s="58">
        <v>4</v>
      </c>
    </row>
    <row r="28" spans="1:12">
      <c r="A28" s="58" t="str">
        <f t="shared" si="0"/>
        <v>鼎和</v>
      </c>
      <c r="B28" s="69" t="s">
        <v>65</v>
      </c>
      <c r="C28" s="70">
        <f>5565.01</f>
        <v>5565.01</v>
      </c>
      <c r="D28" s="70">
        <v>4954.896517</v>
      </c>
      <c r="E28" s="70">
        <f t="shared" si="1"/>
        <v>10519.906517</v>
      </c>
      <c r="F28" s="67">
        <v>4</v>
      </c>
      <c r="G28" s="66">
        <f t="shared" si="4"/>
        <v>1.0519906517</v>
      </c>
      <c r="H28" s="68">
        <f t="shared" si="2"/>
        <v>3.80231515701785</v>
      </c>
      <c r="I28" s="74"/>
      <c r="J28" s="58" t="str">
        <f t="shared" si="3"/>
        <v>永安</v>
      </c>
      <c r="K28" s="58" t="s">
        <v>66</v>
      </c>
      <c r="L28" s="58">
        <v>14</v>
      </c>
    </row>
    <row r="29" spans="1:12">
      <c r="A29" s="58" t="str">
        <f t="shared" si="0"/>
        <v>中煤</v>
      </c>
      <c r="B29" s="69" t="s">
        <v>67</v>
      </c>
      <c r="C29" s="70">
        <f>9872.42</f>
        <v>9872.42</v>
      </c>
      <c r="D29" s="70">
        <v>8181.437247</v>
      </c>
      <c r="E29" s="70">
        <f t="shared" si="1"/>
        <v>18053.857247</v>
      </c>
      <c r="F29" s="67">
        <v>2</v>
      </c>
      <c r="G29" s="66">
        <f t="shared" si="4"/>
        <v>1.8053857247</v>
      </c>
      <c r="H29" s="68">
        <f t="shared" si="2"/>
        <v>1.10779650721584</v>
      </c>
      <c r="I29" s="74"/>
      <c r="J29" s="58" t="str">
        <f t="shared" si="3"/>
        <v>永诚</v>
      </c>
      <c r="K29" s="58" t="s">
        <v>68</v>
      </c>
      <c r="L29" s="58">
        <v>17</v>
      </c>
    </row>
    <row r="30" spans="1:12">
      <c r="A30" s="58" t="str">
        <f t="shared" si="0"/>
        <v>国泰</v>
      </c>
      <c r="B30" s="69" t="s">
        <v>69</v>
      </c>
      <c r="C30" s="70">
        <f>2278.63</f>
        <v>2278.63</v>
      </c>
      <c r="D30" s="70">
        <v>2178.532727</v>
      </c>
      <c r="E30" s="70">
        <f t="shared" si="1"/>
        <v>4457.162727</v>
      </c>
      <c r="F30" s="67">
        <v>0</v>
      </c>
      <c r="G30" s="66">
        <f t="shared" si="4"/>
        <v>0.4457162727</v>
      </c>
      <c r="H30" s="68">
        <f t="shared" si="2"/>
        <v>0</v>
      </c>
      <c r="I30" s="74"/>
      <c r="J30" s="58" t="str">
        <f t="shared" si="3"/>
        <v>长安</v>
      </c>
      <c r="K30" s="58" t="s">
        <v>70</v>
      </c>
      <c r="L30" s="58">
        <v>6</v>
      </c>
    </row>
    <row r="31" spans="1:12">
      <c r="A31" s="58" t="str">
        <f t="shared" si="0"/>
        <v>英大</v>
      </c>
      <c r="B31" s="69" t="s">
        <v>71</v>
      </c>
      <c r="C31" s="70">
        <f>6222.68</f>
        <v>6222.68</v>
      </c>
      <c r="D31" s="70">
        <v>7803.871488</v>
      </c>
      <c r="E31" s="70">
        <f t="shared" si="1"/>
        <v>14026.551488</v>
      </c>
      <c r="F31" s="67">
        <v>4</v>
      </c>
      <c r="G31" s="66">
        <f t="shared" si="4"/>
        <v>1.4026551488</v>
      </c>
      <c r="H31" s="68">
        <f t="shared" si="2"/>
        <v>2.8517344433677</v>
      </c>
      <c r="I31" s="74"/>
      <c r="J31" s="58" t="str">
        <f t="shared" si="3"/>
        <v>长江</v>
      </c>
      <c r="K31" s="58" t="s">
        <v>72</v>
      </c>
      <c r="L31" s="58">
        <v>13</v>
      </c>
    </row>
    <row r="32" spans="1:12">
      <c r="A32" s="58" t="str">
        <f t="shared" si="0"/>
        <v>浙商</v>
      </c>
      <c r="B32" s="69" t="s">
        <v>73</v>
      </c>
      <c r="C32" s="70">
        <f>46893.56</f>
        <v>46893.56</v>
      </c>
      <c r="D32" s="70">
        <v>39968.132799</v>
      </c>
      <c r="E32" s="70">
        <f t="shared" si="1"/>
        <v>86861.692799</v>
      </c>
      <c r="F32" s="67">
        <v>17</v>
      </c>
      <c r="G32" s="66">
        <f t="shared" si="4"/>
        <v>8.6861692799</v>
      </c>
      <c r="H32" s="68">
        <f t="shared" si="2"/>
        <v>1.95713431919159</v>
      </c>
      <c r="I32" s="74"/>
      <c r="J32" s="58" t="str">
        <f t="shared" si="3"/>
        <v>浙商</v>
      </c>
      <c r="K32" s="58" t="s">
        <v>74</v>
      </c>
      <c r="L32" s="58">
        <v>17</v>
      </c>
    </row>
    <row r="33" spans="1:12">
      <c r="A33" s="58" t="str">
        <f t="shared" si="0"/>
        <v>紫金</v>
      </c>
      <c r="B33" s="69" t="s">
        <v>75</v>
      </c>
      <c r="C33" s="70">
        <f>18401.87</f>
        <v>18401.87</v>
      </c>
      <c r="D33" s="70">
        <v>17733.889811</v>
      </c>
      <c r="E33" s="70">
        <f t="shared" si="1"/>
        <v>36135.759811</v>
      </c>
      <c r="F33" s="67">
        <v>10</v>
      </c>
      <c r="G33" s="66">
        <f t="shared" si="4"/>
        <v>3.6135759811</v>
      </c>
      <c r="H33" s="68">
        <f t="shared" si="2"/>
        <v>2.76734183874997</v>
      </c>
      <c r="I33" s="74"/>
      <c r="J33" s="58" t="str">
        <f t="shared" si="3"/>
        <v>中华</v>
      </c>
      <c r="K33" s="58" t="s">
        <v>76</v>
      </c>
      <c r="L33" s="58">
        <v>45</v>
      </c>
    </row>
    <row r="34" spans="1:12">
      <c r="A34" s="58" t="str">
        <f t="shared" si="0"/>
        <v>泰山</v>
      </c>
      <c r="B34" s="69" t="s">
        <v>77</v>
      </c>
      <c r="C34" s="70">
        <f>26606.78</f>
        <v>26606.78</v>
      </c>
      <c r="D34" s="70">
        <v>26082.205713</v>
      </c>
      <c r="E34" s="70">
        <f t="shared" si="1"/>
        <v>52688.985713</v>
      </c>
      <c r="F34" s="67">
        <v>7</v>
      </c>
      <c r="G34" s="66">
        <f t="shared" si="4"/>
        <v>5.2688985713</v>
      </c>
      <c r="H34" s="68">
        <f t="shared" si="2"/>
        <v>1.32855091159458</v>
      </c>
      <c r="I34" s="74"/>
      <c r="J34" s="58" t="str">
        <f t="shared" si="3"/>
        <v>中路</v>
      </c>
      <c r="K34" s="58" t="s">
        <v>78</v>
      </c>
      <c r="L34" s="58">
        <v>15</v>
      </c>
    </row>
    <row r="35" spans="1:12">
      <c r="A35" s="58" t="str">
        <f t="shared" si="0"/>
        <v>众诚</v>
      </c>
      <c r="B35" s="69" t="s">
        <v>79</v>
      </c>
      <c r="C35" s="70">
        <f>2042.67</f>
        <v>2042.67</v>
      </c>
      <c r="D35" s="70">
        <v>2340.095617</v>
      </c>
      <c r="E35" s="70">
        <f t="shared" si="1"/>
        <v>4382.765617</v>
      </c>
      <c r="F35" s="67">
        <v>0</v>
      </c>
      <c r="G35" s="66">
        <f t="shared" si="4"/>
        <v>0.4382765617</v>
      </c>
      <c r="H35" s="68">
        <f t="shared" si="2"/>
        <v>0</v>
      </c>
      <c r="I35" s="74"/>
      <c r="J35" s="58" t="str">
        <f t="shared" si="3"/>
        <v>中煤</v>
      </c>
      <c r="K35" s="58" t="s">
        <v>80</v>
      </c>
      <c r="L35" s="58">
        <v>2</v>
      </c>
    </row>
    <row r="36" spans="1:12">
      <c r="A36" s="58" t="str">
        <f t="shared" si="0"/>
        <v>长江</v>
      </c>
      <c r="B36" s="69" t="s">
        <v>81</v>
      </c>
      <c r="C36" s="70">
        <f>7674.98</f>
        <v>7674.98</v>
      </c>
      <c r="D36" s="70">
        <v>4689.185939</v>
      </c>
      <c r="E36" s="70">
        <f t="shared" si="1"/>
        <v>12364.165939</v>
      </c>
      <c r="F36" s="67">
        <v>13</v>
      </c>
      <c r="G36" s="66">
        <f t="shared" si="4"/>
        <v>1.2364165939</v>
      </c>
      <c r="H36" s="68">
        <f t="shared" si="2"/>
        <v>10.5142555220764</v>
      </c>
      <c r="I36" s="74"/>
      <c r="J36" s="58" t="str">
        <f t="shared" si="3"/>
        <v>中银</v>
      </c>
      <c r="K36" s="58" t="s">
        <v>82</v>
      </c>
      <c r="L36" s="58">
        <v>1</v>
      </c>
    </row>
    <row r="37" spans="1:12">
      <c r="A37" s="58" t="str">
        <f t="shared" si="0"/>
        <v>鑫安</v>
      </c>
      <c r="B37" s="69" t="s">
        <v>83</v>
      </c>
      <c r="C37" s="70">
        <f>1638.27</f>
        <v>1638.27</v>
      </c>
      <c r="D37" s="70">
        <v>1316.650179</v>
      </c>
      <c r="E37" s="70">
        <f t="shared" si="1"/>
        <v>2954.920179</v>
      </c>
      <c r="F37" s="67">
        <v>1</v>
      </c>
      <c r="G37" s="66">
        <f t="shared" si="4"/>
        <v>0.2954920179</v>
      </c>
      <c r="H37" s="68">
        <f t="shared" si="2"/>
        <v>3.38418616890836</v>
      </c>
      <c r="I37" s="74"/>
      <c r="J37" s="58" t="str">
        <f t="shared" si="3"/>
        <v>紫金</v>
      </c>
      <c r="K37" s="58" t="s">
        <v>84</v>
      </c>
      <c r="L37" s="58">
        <v>10</v>
      </c>
    </row>
    <row r="38" spans="1:12">
      <c r="A38" s="58" t="str">
        <f t="shared" si="0"/>
        <v>众安</v>
      </c>
      <c r="B38" s="69" t="s">
        <v>85</v>
      </c>
      <c r="C38" s="70">
        <f>1803.33</f>
        <v>1803.33</v>
      </c>
      <c r="D38" s="70">
        <v>3257.725273</v>
      </c>
      <c r="E38" s="70">
        <f t="shared" si="1"/>
        <v>5061.055273</v>
      </c>
      <c r="F38" s="67">
        <v>0</v>
      </c>
      <c r="G38" s="66">
        <f t="shared" si="4"/>
        <v>0.5061055273</v>
      </c>
      <c r="H38" s="68">
        <f t="shared" si="2"/>
        <v>0</v>
      </c>
      <c r="I38" s="74"/>
      <c r="K38" s="58" t="s">
        <v>86</v>
      </c>
      <c r="L38" s="58">
        <v>1281</v>
      </c>
    </row>
    <row r="39" spans="1:9">
      <c r="A39" s="58" t="str">
        <f t="shared" si="0"/>
        <v>华海</v>
      </c>
      <c r="B39" s="69" t="s">
        <v>87</v>
      </c>
      <c r="C39" s="70">
        <f>76589.85</f>
        <v>76589.85</v>
      </c>
      <c r="D39" s="70">
        <v>85712.4361</v>
      </c>
      <c r="E39" s="70">
        <f t="shared" si="1"/>
        <v>162302.2861</v>
      </c>
      <c r="F39" s="67">
        <v>39</v>
      </c>
      <c r="G39" s="66">
        <f t="shared" si="4"/>
        <v>16.23022861</v>
      </c>
      <c r="H39" s="68">
        <f t="shared" si="2"/>
        <v>2.40292363941015</v>
      </c>
      <c r="I39" s="74"/>
    </row>
    <row r="40" spans="1:9">
      <c r="A40" s="58" t="str">
        <f t="shared" si="0"/>
        <v>中路</v>
      </c>
      <c r="B40" s="69" t="s">
        <v>88</v>
      </c>
      <c r="C40" s="70">
        <f>14095.06</f>
        <v>14095.06</v>
      </c>
      <c r="D40" s="70">
        <v>13339.046704</v>
      </c>
      <c r="E40" s="70">
        <f t="shared" si="1"/>
        <v>27434.106704</v>
      </c>
      <c r="F40" s="67">
        <v>15</v>
      </c>
      <c r="G40" s="66">
        <f t="shared" si="4"/>
        <v>2.7434106704</v>
      </c>
      <c r="H40" s="68">
        <f t="shared" si="2"/>
        <v>5.46764659110003</v>
      </c>
      <c r="I40" s="74"/>
    </row>
    <row r="41" spans="1:9">
      <c r="A41" s="58" t="str">
        <f t="shared" si="0"/>
        <v>泰康</v>
      </c>
      <c r="B41" s="69" t="s">
        <v>89</v>
      </c>
      <c r="C41" s="70">
        <f>3586.31</f>
        <v>3586.31</v>
      </c>
      <c r="D41" s="70">
        <v>3168.058295</v>
      </c>
      <c r="E41" s="70">
        <f t="shared" si="1"/>
        <v>6754.368295</v>
      </c>
      <c r="F41" s="67">
        <v>0</v>
      </c>
      <c r="G41" s="66">
        <f t="shared" si="4"/>
        <v>0.6754368295</v>
      </c>
      <c r="H41" s="68">
        <f t="shared" si="2"/>
        <v>0</v>
      </c>
      <c r="I41" s="74"/>
    </row>
    <row r="42" ht="15" spans="1:9">
      <c r="A42" s="61" t="s">
        <v>90</v>
      </c>
      <c r="B42" s="71" t="s">
        <v>91</v>
      </c>
      <c r="C42" s="72">
        <f>2492089.92</f>
        <v>2492089.92</v>
      </c>
      <c r="D42" s="72">
        <v>2476572.193972</v>
      </c>
      <c r="E42" s="72">
        <f t="shared" si="1"/>
        <v>4968662.113972</v>
      </c>
      <c r="F42" s="67">
        <v>1281</v>
      </c>
      <c r="G42" s="66">
        <f t="shared" si="4"/>
        <v>496.8662113972</v>
      </c>
      <c r="H42" s="68">
        <f t="shared" si="2"/>
        <v>2.57815880938613</v>
      </c>
      <c r="I42" s="74"/>
    </row>
  </sheetData>
  <mergeCells count="1">
    <mergeCell ref="B1:C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0"/>
  <sheetViews>
    <sheetView tabSelected="1" zoomScale="70" zoomScaleNormal="70" workbookViewId="0">
      <pane xSplit="2" ySplit="7" topLeftCell="C8" activePane="bottomRight" state="frozen"/>
      <selection/>
      <selection pane="topRight"/>
      <selection pane="bottomLeft"/>
      <selection pane="bottomRight" activeCell="W58" sqref="W58"/>
    </sheetView>
  </sheetViews>
  <sheetFormatPr defaultColWidth="9" defaultRowHeight="13.5"/>
  <cols>
    <col min="1" max="1" width="6.5" style="28" customWidth="1"/>
    <col min="2" max="2" width="14.025" style="28" customWidth="1"/>
    <col min="3" max="3" width="10.375" style="28" customWidth="1"/>
    <col min="4" max="4" width="10.6916666666667" style="28" customWidth="1"/>
    <col min="5" max="5" width="7.19166666666667" style="28" customWidth="1"/>
    <col min="6" max="6" width="10.6916666666667" style="28" customWidth="1"/>
    <col min="7" max="7" width="7.19166666666667" style="28" customWidth="1"/>
    <col min="8" max="8" width="10.6916666666667" style="28" customWidth="1"/>
    <col min="9" max="9" width="7.19166666666667" style="28" customWidth="1"/>
    <col min="10" max="10" width="10.6916666666667" style="28" customWidth="1"/>
    <col min="11" max="11" width="7.19166666666667" style="28" customWidth="1"/>
    <col min="12" max="12" width="10.6916666666667" style="29" customWidth="1"/>
    <col min="13" max="13" width="7.19166666666667" style="28" customWidth="1"/>
    <col min="14" max="14" width="10.6916666666667" style="29" customWidth="1"/>
    <col min="15" max="15" width="7.19166666666667" style="28" customWidth="1"/>
    <col min="16" max="16" width="10.6916666666667" style="28" customWidth="1"/>
    <col min="17" max="17" width="7.19166666666667" style="28" customWidth="1"/>
    <col min="18" max="18" width="10.6916666666667" style="28" customWidth="1"/>
    <col min="19" max="19" width="7.19166666666667" style="28" customWidth="1"/>
    <col min="20" max="20" width="10.6916666666667" style="29" customWidth="1"/>
    <col min="21" max="21" width="7.19166666666667" style="28" customWidth="1"/>
    <col min="22" max="22" width="10.6916666666667" style="29" customWidth="1"/>
    <col min="23" max="23" width="7.19166666666667" style="28" customWidth="1"/>
    <col min="24" max="24" width="10.6916666666667" style="28" customWidth="1"/>
    <col min="25" max="25" width="7.19166666666667" style="28" customWidth="1"/>
    <col min="26" max="26" width="10.8583333333333" style="28" customWidth="1"/>
    <col min="27" max="27" width="7.19166666666667" style="28" customWidth="1"/>
    <col min="28" max="30" width="8.69166666666667" style="30" customWidth="1"/>
    <col min="31" max="31" width="7.19166666666667" style="28" customWidth="1"/>
    <col min="32" max="32" width="12.925" style="28"/>
    <col min="33" max="16384" width="9" style="28"/>
  </cols>
  <sheetData>
    <row r="1" s="28" customFormat="1" ht="60" customHeight="1" spans="1:31">
      <c r="A1" s="31" t="s">
        <v>92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="28" customFormat="1" ht="20" customHeight="1" spans="1:31">
      <c r="A2" s="32" t="s">
        <v>93</v>
      </c>
      <c r="B2" s="32" t="s">
        <v>94</v>
      </c>
      <c r="C2" s="32" t="s">
        <v>95</v>
      </c>
      <c r="D2" s="33" t="s">
        <v>96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 t="s">
        <v>97</v>
      </c>
      <c r="U2" s="33"/>
      <c r="V2" s="33"/>
      <c r="W2" s="33"/>
      <c r="X2" s="33"/>
      <c r="Y2" s="33"/>
      <c r="Z2" s="33" t="s">
        <v>98</v>
      </c>
      <c r="AA2" s="33"/>
      <c r="AB2" s="52" t="s">
        <v>99</v>
      </c>
      <c r="AC2" s="52"/>
      <c r="AD2" s="52"/>
      <c r="AE2" s="33"/>
    </row>
    <row r="3" s="28" customFormat="1" ht="20" customHeight="1" spans="1:31">
      <c r="A3" s="32"/>
      <c r="B3" s="32"/>
      <c r="C3" s="32"/>
      <c r="D3" s="33" t="s">
        <v>100</v>
      </c>
      <c r="E3" s="33"/>
      <c r="F3" s="33"/>
      <c r="G3" s="33"/>
      <c r="H3" s="33"/>
      <c r="I3" s="33"/>
      <c r="J3" s="33"/>
      <c r="K3" s="33"/>
      <c r="L3" s="33" t="s">
        <v>101</v>
      </c>
      <c r="M3" s="33"/>
      <c r="N3" s="33"/>
      <c r="O3" s="33"/>
      <c r="P3" s="33"/>
      <c r="Q3" s="33"/>
      <c r="R3" s="33"/>
      <c r="S3" s="33"/>
      <c r="T3" s="33" t="s">
        <v>102</v>
      </c>
      <c r="U3" s="33"/>
      <c r="V3" s="33"/>
      <c r="W3" s="33"/>
      <c r="X3" s="33" t="s">
        <v>103</v>
      </c>
      <c r="Y3" s="33"/>
      <c r="Z3" s="33" t="s">
        <v>104</v>
      </c>
      <c r="AA3" s="33"/>
      <c r="AB3" s="53" t="s">
        <v>105</v>
      </c>
      <c r="AC3" s="53" t="s">
        <v>106</v>
      </c>
      <c r="AD3" s="53" t="s">
        <v>107</v>
      </c>
      <c r="AE3" s="34" t="s">
        <v>108</v>
      </c>
    </row>
    <row r="4" s="28" customFormat="1" ht="20" customHeight="1" spans="1:31">
      <c r="A4" s="32"/>
      <c r="B4" s="32"/>
      <c r="C4" s="32"/>
      <c r="D4" s="33" t="s">
        <v>109</v>
      </c>
      <c r="E4" s="33"/>
      <c r="F4" s="33" t="s">
        <v>110</v>
      </c>
      <c r="G4" s="33"/>
      <c r="H4" s="33" t="s">
        <v>111</v>
      </c>
      <c r="I4" s="33"/>
      <c r="J4" s="33" t="s">
        <v>112</v>
      </c>
      <c r="K4" s="33"/>
      <c r="L4" s="33" t="s">
        <v>109</v>
      </c>
      <c r="M4" s="33"/>
      <c r="N4" s="33" t="s">
        <v>110</v>
      </c>
      <c r="O4" s="33"/>
      <c r="P4" s="33" t="s">
        <v>111</v>
      </c>
      <c r="Q4" s="33"/>
      <c r="R4" s="33" t="s">
        <v>112</v>
      </c>
      <c r="S4" s="33"/>
      <c r="T4" s="33" t="s">
        <v>113</v>
      </c>
      <c r="U4" s="33"/>
      <c r="V4" s="33" t="s">
        <v>114</v>
      </c>
      <c r="W4" s="33"/>
      <c r="X4" s="32" t="s">
        <v>115</v>
      </c>
      <c r="Y4" s="34" t="s">
        <v>116</v>
      </c>
      <c r="Z4" s="32" t="s">
        <v>115</v>
      </c>
      <c r="AA4" s="34" t="s">
        <v>116</v>
      </c>
      <c r="AB4" s="53"/>
      <c r="AC4" s="53"/>
      <c r="AD4" s="53"/>
      <c r="AE4" s="34"/>
    </row>
    <row r="5" s="28" customFormat="1" ht="20" customHeight="1" spans="1:31">
      <c r="A5" s="32"/>
      <c r="B5" s="32"/>
      <c r="C5" s="32"/>
      <c r="D5" s="32" t="s">
        <v>115</v>
      </c>
      <c r="E5" s="34" t="s">
        <v>116</v>
      </c>
      <c r="F5" s="32" t="s">
        <v>115</v>
      </c>
      <c r="G5" s="34" t="s">
        <v>116</v>
      </c>
      <c r="H5" s="32" t="s">
        <v>115</v>
      </c>
      <c r="I5" s="34" t="s">
        <v>116</v>
      </c>
      <c r="J5" s="32" t="s">
        <v>115</v>
      </c>
      <c r="K5" s="34" t="s">
        <v>116</v>
      </c>
      <c r="L5" s="32" t="s">
        <v>115</v>
      </c>
      <c r="M5" s="34" t="s">
        <v>116</v>
      </c>
      <c r="N5" s="32" t="s">
        <v>115</v>
      </c>
      <c r="O5" s="34" t="s">
        <v>116</v>
      </c>
      <c r="P5" s="32" t="s">
        <v>115</v>
      </c>
      <c r="Q5" s="34" t="s">
        <v>116</v>
      </c>
      <c r="R5" s="32" t="s">
        <v>115</v>
      </c>
      <c r="S5" s="34" t="s">
        <v>116</v>
      </c>
      <c r="T5" s="32" t="s">
        <v>115</v>
      </c>
      <c r="U5" s="34" t="s">
        <v>116</v>
      </c>
      <c r="V5" s="32" t="s">
        <v>115</v>
      </c>
      <c r="W5" s="34" t="s">
        <v>116</v>
      </c>
      <c r="X5" s="32"/>
      <c r="Y5" s="34"/>
      <c r="Z5" s="32"/>
      <c r="AA5" s="34"/>
      <c r="AB5" s="53"/>
      <c r="AC5" s="53"/>
      <c r="AD5" s="53"/>
      <c r="AE5" s="34"/>
    </row>
    <row r="6" s="28" customFormat="1" ht="14.25" spans="1:31">
      <c r="A6" s="32"/>
      <c r="B6" s="35" t="s">
        <v>117</v>
      </c>
      <c r="C6" s="36">
        <f>E6+G6+I6+K6+Q6+S6+M6+O6+AA6+U6+W6+Y6+AE6</f>
        <v>100</v>
      </c>
      <c r="D6" s="37">
        <v>5.82854273975963</v>
      </c>
      <c r="E6" s="38">
        <v>12</v>
      </c>
      <c r="F6" s="37">
        <v>98.4129655217792</v>
      </c>
      <c r="G6" s="38">
        <v>8</v>
      </c>
      <c r="H6" s="37">
        <v>14.6810292655514</v>
      </c>
      <c r="I6" s="38">
        <v>12</v>
      </c>
      <c r="J6" s="37">
        <v>83.7485436413902</v>
      </c>
      <c r="K6" s="38">
        <v>8</v>
      </c>
      <c r="L6" s="45">
        <v>10.4295449549352</v>
      </c>
      <c r="M6" s="38">
        <v>6</v>
      </c>
      <c r="N6" s="45">
        <v>112.261811755952</v>
      </c>
      <c r="O6" s="38">
        <v>4</v>
      </c>
      <c r="P6" s="46">
        <v>22.6618998093257</v>
      </c>
      <c r="Q6" s="38">
        <v>6</v>
      </c>
      <c r="R6" s="46">
        <v>124.829487179487</v>
      </c>
      <c r="S6" s="38">
        <v>4</v>
      </c>
      <c r="T6" s="49">
        <v>0.926672950047125</v>
      </c>
      <c r="U6" s="38">
        <v>10</v>
      </c>
      <c r="V6" s="49">
        <v>0.879901457606241</v>
      </c>
      <c r="W6" s="38">
        <v>10</v>
      </c>
      <c r="X6" s="49">
        <v>0.951724986163213</v>
      </c>
      <c r="Y6" s="38">
        <v>10</v>
      </c>
      <c r="Z6" s="54">
        <v>0.896455574945165</v>
      </c>
      <c r="AA6" s="38">
        <v>10</v>
      </c>
      <c r="AB6" s="49">
        <v>0.00656791779254851</v>
      </c>
      <c r="AC6" s="49">
        <v>0.308880719127866</v>
      </c>
      <c r="AD6" s="49">
        <v>0.00578070229383187</v>
      </c>
      <c r="AE6" s="38"/>
    </row>
    <row r="7" s="28" customFormat="1" ht="15" customHeight="1" spans="1:31">
      <c r="A7" s="39">
        <f t="shared" ref="A7:A40" si="0">RANK(C7,$C$7:$C$40)</f>
        <v>1</v>
      </c>
      <c r="B7" s="40" t="s">
        <v>34</v>
      </c>
      <c r="C7" s="36">
        <f t="shared" ref="C7:C40" si="1">E7+G7+I7+K7+Q7+S7+M7+O7+AA7+U7+W7+Y7-AE7</f>
        <v>90.5380493613086</v>
      </c>
      <c r="D7" s="41">
        <f>VLOOKUP(B7,基础数!$1:$1048576,2,FALSE)</f>
        <v>4.22698643410853</v>
      </c>
      <c r="E7" s="42">
        <f>IF(D7="-",9.6,MAX(MIN(IF(D7&gt;'测算稿 '!D$6,('测算稿 '!D$6-D7)*0.6+9.6,('测算稿 '!D$6-D7)*0.6+9.6),12),0))</f>
        <v>10.5609337833907</v>
      </c>
      <c r="F7" s="41">
        <f>VLOOKUP(B7,基础数!$1:$1048576,3,FALSE)</f>
        <v>81.1637931034483</v>
      </c>
      <c r="G7" s="42">
        <f>IF(F7="-",6.4,MAX(MIN(IF(F7&gt;'测算稿 '!F$6,('测算稿 '!F$6-F7)*0.1+6.4,('测算稿 '!F$6-F7)*0.1+6.4),8),0))</f>
        <v>8</v>
      </c>
      <c r="H7" s="41">
        <f>VLOOKUP(B7,基础数!$1:$1048576,4,FALSE)</f>
        <v>9.4062015503876</v>
      </c>
      <c r="I7" s="42">
        <f>IF(H7="-",9.6,MAX(MIN(IF(H7&gt;'测算稿 '!H$6,('测算稿 '!H$6-H7)*0.3+9.6,('测算稿 '!H$6-H7)*0.6+9.6),12),0))</f>
        <v>12</v>
      </c>
      <c r="J7" s="41">
        <f>VLOOKUP(B7,基础数!$1:$1048576,5,FALSE)</f>
        <v>48.6002109704641</v>
      </c>
      <c r="K7" s="42">
        <f>IF(J7="-",6.4,MAX(MIN(IF(J7&gt;'测算稿 '!J$6,('测算稿 '!J$6-J7)*0.1+6.4,('测算稿 '!J$6-J7)*0.2+6.4),8),0))</f>
        <v>8</v>
      </c>
      <c r="L7" s="41">
        <f>VLOOKUP(B7,基础数!$1:$1048576,6,FALSE)</f>
        <v>4.55111111111111</v>
      </c>
      <c r="M7" s="42">
        <f>IF(L7="-",4.8,MAX(MIN(IF(L7&gt;'测算稿 '!L$6,('测算稿 '!L$6-L7)*0.2+4.8,('测算稿 '!L$6-L7)*0.2+4.8),6),0))</f>
        <v>5.97568676876482</v>
      </c>
      <c r="N7" s="41">
        <f>VLOOKUP(B7,基础数!$1:$1048576,7,FALSE)</f>
        <v>139.784027777778</v>
      </c>
      <c r="O7" s="42">
        <f>IF(N7="-",3.2,MAX(MIN(IF(N7&gt;'测算稿 '!N$6,('测算稿 '!N$6-N7)*0.05+3.2,('测算稿 '!N$6-N7)*0.05+3.2),4),0))</f>
        <v>1.8238891989087</v>
      </c>
      <c r="P7" s="41">
        <f>VLOOKUP(B7,基础数!$1:$1048576,8,FALSE)</f>
        <v>11.4465811965812</v>
      </c>
      <c r="Q7" s="42">
        <f>IF(P7="-",4.8,MAX(MIN(IF(P7&gt;'测算稿 '!P$6,('测算稿 '!P$6-P7)*0.2+4.8,('测算稿 '!P$6-P7)*0.2+4.8),6),0))</f>
        <v>6</v>
      </c>
      <c r="R7" s="41">
        <f>VLOOKUP(B7,基础数!$1:$1048576,9,FALSE)</f>
        <v>81.4754464285714</v>
      </c>
      <c r="S7" s="42">
        <f>IF(R7="-",3.2,MAX(MIN(IF(R7&gt;'测算稿 '!R$6,('测算稿 '!R$6-R7)*0.05+3.2,('测算稿 '!R$6-R7)*0.05+3.2),4),0))</f>
        <v>4</v>
      </c>
      <c r="T7" s="50">
        <f>VLOOKUP(B7,基础数!$1:$1048576,10,FALSE)</f>
        <v>0.944146901300689</v>
      </c>
      <c r="U7" s="42">
        <f>IF(T7="-",8,IF(T7&lt;1,MAX(MIN(IF(T7&gt;'测算稿 '!T$6,(T7-'测算稿 '!T$6)*100*0.5+8,(T7-'测算稿 '!T$6)*100*0.2+8),10),0),10))</f>
        <v>8.8736975626782</v>
      </c>
      <c r="V7" s="50">
        <f>VLOOKUP(B7,基础数!$1:$1048576,11,FALSE)</f>
        <v>0.941901408450704</v>
      </c>
      <c r="W7" s="42">
        <f>IF(V7="-",8,IF(V7&lt;1,MAX(MIN(IF(V7&gt;'测算稿 '!V$6,(V7-'测算稿 '!V$6)*100*0.5+8,(V7-'测算稿 '!V$6)*100*0.2+8),10),0),10))</f>
        <v>10</v>
      </c>
      <c r="X7" s="50">
        <f>VLOOKUP(B7,基础数!$1:$1048576,12,FALSE)</f>
        <v>0.958333333333333</v>
      </c>
      <c r="Y7" s="42">
        <f>IF(X7='测算稿 '!X$6,8,IF(X7&lt;1,MAX(MIN(IF(X7&gt;'测算稿 '!X$6,(X7-'测算稿 '!X$6)*100*0.4+8,(X7-'测算稿 '!X$6)*100*0.2+8),10),0),10))</f>
        <v>8.2643338868048</v>
      </c>
      <c r="Z7" s="55">
        <v>3.29768517304161</v>
      </c>
      <c r="AA7" s="42">
        <f>MIN(MAX(IF(Z7=0,10,IF(Z7&lt;'测算稿 '!Z$6,8+('测算稿 '!Z$6-Z7)*2,8+('测算稿 '!Z$6-Z7)*0.4)),0),10)</f>
        <v>7.03950816076142</v>
      </c>
      <c r="AB7" s="50">
        <f>VLOOKUP(B7,基础数!$1:$1048576,13,FALSE)</f>
        <v>0.00057355893318034</v>
      </c>
      <c r="AC7" s="50">
        <f>VLOOKUP(B7,基础数!$1:$1048576,14,FALSE)</f>
        <v>0.311416616855947</v>
      </c>
      <c r="AD7" s="50">
        <f>VLOOKUP(B7,基础数!$1:$1048576,15,FALSE)</f>
        <v>0</v>
      </c>
      <c r="AE7" s="42">
        <f>MIN(2,IF(AB7&lt;'测算稿 '!AB$6*1.1,0,(AB7/'测算稿 '!AB$6-1.1)*10*0.4))+MIN(2,IF(AC7&lt;'测算稿 '!AC$6*1.1,0,(AC7/'测算稿 '!AC$6-1.1)*10*0.4))+MIN(2,IF(AD7&lt;'测算稿 '!AD$6*1.1,0,(AD7/'测算稿 '!AD$6-1.1)*10*0.4))</f>
        <v>0</v>
      </c>
    </row>
    <row r="8" s="28" customFormat="1" ht="15" customHeight="1" spans="1:31">
      <c r="A8" s="39">
        <f t="shared" si="0"/>
        <v>2</v>
      </c>
      <c r="B8" s="40" t="s">
        <v>118</v>
      </c>
      <c r="C8" s="36">
        <f t="shared" si="1"/>
        <v>89.7180169365628</v>
      </c>
      <c r="D8" s="41">
        <f>VLOOKUP(B8,基础数!$1:$1048576,2,FALSE)</f>
        <v>4.05037313432836</v>
      </c>
      <c r="E8" s="42">
        <f>IF(D8="-",9.6,MAX(MIN(IF(D8&gt;'测算稿 '!D$6,('测算稿 '!D$6-D8)*0.6+9.6,('测算稿 '!D$6-D8)*0.6+9.6),12),0))</f>
        <v>10.6669017632588</v>
      </c>
      <c r="F8" s="41">
        <f>VLOOKUP(B8,基础数!$1:$1048576,3,FALSE)</f>
        <v>28.7708333333333</v>
      </c>
      <c r="G8" s="42">
        <f>IF(F8="-",6.4,MAX(MIN(IF(F8&gt;'测算稿 '!F$6,('测算稿 '!F$6-F8)*0.1+6.4,('测算稿 '!F$6-F8)*0.1+6.4),8),0))</f>
        <v>8</v>
      </c>
      <c r="H8" s="41">
        <f>VLOOKUP(B8,基础数!$1:$1048576,4,FALSE)</f>
        <v>5.4496336996337</v>
      </c>
      <c r="I8" s="42">
        <f>IF(H8="-",9.6,MAX(MIN(IF(H8&gt;'测算稿 '!H$6,('测算稿 '!H$6-H8)*0.3+9.6,('测算稿 '!H$6-H8)*0.6+9.6),12),0))</f>
        <v>12</v>
      </c>
      <c r="J8" s="41">
        <f>VLOOKUP(B8,基础数!$1:$1048576,5,FALSE)</f>
        <v>25.5565476190476</v>
      </c>
      <c r="K8" s="42">
        <f>IF(J8="-",6.4,MAX(MIN(IF(J8&gt;'测算稿 '!J$6,('测算稿 '!J$6-J8)*0.1+6.4,('测算稿 '!J$6-J8)*0.2+6.4),8),0))</f>
        <v>8</v>
      </c>
      <c r="L8" s="41">
        <f>VLOOKUP(B8,基础数!$1:$1048576,6,FALSE)</f>
        <v>5.21825396825397</v>
      </c>
      <c r="M8" s="42">
        <f>IF(L8="-",4.8,MAX(MIN(IF(L8&gt;'测算稿 '!L$6,('测算稿 '!L$6-L8)*0.2+4.8,('测算稿 '!L$6-L8)*0.2+4.8),6),0))</f>
        <v>5.84225819733625</v>
      </c>
      <c r="N8" s="41">
        <f>VLOOKUP(B8,基础数!$1:$1048576,7,FALSE)</f>
        <v>24.0625</v>
      </c>
      <c r="O8" s="42">
        <f>IF(N8="-",3.2,MAX(MIN(IF(N8&gt;'测算稿 '!N$6,('测算稿 '!N$6-N8)*0.05+3.2,('测算稿 '!N$6-N8)*0.05+3.2),4),0))</f>
        <v>4</v>
      </c>
      <c r="P8" s="41">
        <f>VLOOKUP(B8,基础数!$1:$1048576,8,FALSE)</f>
        <v>4.675</v>
      </c>
      <c r="Q8" s="42">
        <f>IF(P8="-",4.8,MAX(MIN(IF(P8&gt;'测算稿 '!P$6,('测算稿 '!P$6-P8)*0.2+4.8,('测算稿 '!P$6-P8)*0.2+4.8),6),0))</f>
        <v>6</v>
      </c>
      <c r="R8" s="41">
        <f>VLOOKUP(B8,基础数!$1:$1048576,9,FALSE)</f>
        <v>16.1666666666667</v>
      </c>
      <c r="S8" s="42">
        <f>IF(R8="-",3.2,MAX(MIN(IF(R8&gt;'测算稿 '!R$6,('测算稿 '!R$6-R8)*0.05+3.2,('测算稿 '!R$6-R8)*0.05+3.2),4),0))</f>
        <v>4</v>
      </c>
      <c r="T8" s="50">
        <f>VLOOKUP(B8,基础数!$1:$1048576,10,FALSE)</f>
        <v>0.869158878504673</v>
      </c>
      <c r="U8" s="42">
        <f>IF(T8="-",8,IF(T8&lt;1,MAX(MIN(IF(T8&gt;'测算稿 '!T$6,(T8-'测算稿 '!T$6)*100*0.5+8,(T8-'测算稿 '!T$6)*100*0.2+8),10),0),10))</f>
        <v>6.84971856915096</v>
      </c>
      <c r="V8" s="50">
        <f>VLOOKUP(B8,基础数!$1:$1048576,11,FALSE)</f>
        <v>0.790540540540541</v>
      </c>
      <c r="W8" s="42">
        <f>IF(V8="-",8,IF(V8&lt;1,MAX(MIN(IF(V8&gt;'测算稿 '!V$6,(V8-'测算稿 '!V$6)*100*0.5+8,(V8-'测算稿 '!V$6)*100*0.2+8),10),0),10))</f>
        <v>6.212781658686</v>
      </c>
      <c r="X8" s="50">
        <f>VLOOKUP(B8,基础数!$1:$1048576,12,FALSE)</f>
        <v>0.986798679867987</v>
      </c>
      <c r="Y8" s="42">
        <f>IF(X8='测算稿 '!X$6,8,IF(X8&lt;1,MAX(MIN(IF(X8&gt;'测算稿 '!X$6,(X8-'测算稿 '!X$6)*100*0.4+8,(X8-'测算稿 '!X$6)*100*0.2+8),10),0),10))</f>
        <v>9.40294774819096</v>
      </c>
      <c r="Z8" s="55">
        <v>0</v>
      </c>
      <c r="AA8" s="42">
        <f>MIN(MAX(IF(Z8=0,10,IF(Z8&lt;'测算稿 '!Z$6,8+('测算稿 '!Z$6-Z8)*2,8+('测算稿 '!Z$6-Z8)*0.4)),0),10)</f>
        <v>10</v>
      </c>
      <c r="AB8" s="50">
        <f>VLOOKUP(B8,基础数!$1:$1048576,13,FALSE)</f>
        <v>0</v>
      </c>
      <c r="AC8" s="50">
        <f>VLOOKUP(B8,基础数!$1:$1048576,14,FALSE)</f>
        <v>0.436802973977695</v>
      </c>
      <c r="AD8" s="50">
        <f>VLOOKUP(B8,基础数!$1:$1048576,15,FALSE)</f>
        <v>0</v>
      </c>
      <c r="AE8" s="42">
        <f>MIN(2,IF(AB8&lt;'测算稿 '!AB$6*1.1,0,(AB8/'测算稿 '!AB$6-1.1)*10*0.4))+MIN(2,IF(AC8&lt;'测算稿 '!AC$6*1.1,0,(AC8/'测算稿 '!AC$6-1.1)*10*0.4))+MIN(2,IF(AD8&lt;'测算稿 '!AD$6*1.1,0,(AD8/'测算稿 '!AD$6-1.1)*10*0.4))</f>
        <v>1.25659100006011</v>
      </c>
    </row>
    <row r="9" s="28" customFormat="1" ht="15" customHeight="1" spans="1:31">
      <c r="A9" s="39">
        <f t="shared" si="0"/>
        <v>3</v>
      </c>
      <c r="B9" s="40" t="s">
        <v>48</v>
      </c>
      <c r="C9" s="36">
        <f t="shared" si="1"/>
        <v>89.5337890602669</v>
      </c>
      <c r="D9" s="41">
        <f>VLOOKUP(B9,基础数!$1:$1048576,2,FALSE)</f>
        <v>5.11152115844229</v>
      </c>
      <c r="E9" s="42">
        <f>IF(D9="-",9.6,MAX(MIN(IF(D9&gt;'测算稿 '!D$6,('测算稿 '!D$6-D9)*0.6+9.6,('测算稿 '!D$6-D9)*0.6+9.6),12),0))</f>
        <v>10.0302129487904</v>
      </c>
      <c r="F9" s="41">
        <f>VLOOKUP(B9,基础数!$1:$1048576,3,FALSE)</f>
        <v>57.8408183632735</v>
      </c>
      <c r="G9" s="42">
        <f>IF(F9="-",6.4,MAX(MIN(IF(F9&gt;'测算稿 '!F$6,('测算稿 '!F$6-F9)*0.1+6.4,('测算稿 '!F$6-F9)*0.1+6.4),8),0))</f>
        <v>8</v>
      </c>
      <c r="H9" s="41">
        <f>VLOOKUP(B9,基础数!$1:$1048576,4,FALSE)</f>
        <v>9.52731802811888</v>
      </c>
      <c r="I9" s="42">
        <f>IF(H9="-",9.6,MAX(MIN(IF(H9&gt;'测算稿 '!H$6,('测算稿 '!H$6-H9)*0.3+9.6,('测算稿 '!H$6-H9)*0.6+9.6),12),0))</f>
        <v>12</v>
      </c>
      <c r="J9" s="41">
        <f>VLOOKUP(B9,基础数!$1:$1048576,5,FALSE)</f>
        <v>50.8827331486611</v>
      </c>
      <c r="K9" s="42">
        <f>IF(J9="-",6.4,MAX(MIN(IF(J9&gt;'测算稿 '!J$6,('测算稿 '!J$6-J9)*0.1+6.4,('测算稿 '!J$6-J9)*0.2+6.4),8),0))</f>
        <v>8</v>
      </c>
      <c r="L9" s="41">
        <f>VLOOKUP(B9,基础数!$1:$1048576,6,FALSE)</f>
        <v>10.2109199700823</v>
      </c>
      <c r="M9" s="42">
        <f>IF(L9="-",4.8,MAX(MIN(IF(L9&gt;'测算稿 '!L$6,('测算稿 '!L$6-L9)*0.2+4.8,('测算稿 '!L$6-L9)*0.2+4.8),6),0))</f>
        <v>4.84372499697058</v>
      </c>
      <c r="N9" s="41">
        <f>VLOOKUP(B9,基础数!$1:$1048576,7,FALSE)</f>
        <v>71.7191734417344</v>
      </c>
      <c r="O9" s="42">
        <f>IF(N9="-",3.2,MAX(MIN(IF(N9&gt;'测算稿 '!N$6,('测算稿 '!N$6-N9)*0.05+3.2,('测算稿 '!N$6-N9)*0.05+3.2),4),0))</f>
        <v>4</v>
      </c>
      <c r="P9" s="41">
        <f>VLOOKUP(B9,基础数!$1:$1048576,8,FALSE)</f>
        <v>21.0754032258065</v>
      </c>
      <c r="Q9" s="42">
        <f>IF(P9="-",4.8,MAX(MIN(IF(P9&gt;'测算稿 '!P$6,('测算稿 '!P$6-P9)*0.2+4.8,('测算稿 '!P$6-P9)*0.2+4.8),6),0))</f>
        <v>5.11729931670384</v>
      </c>
      <c r="R9" s="41">
        <f>VLOOKUP(B9,基础数!$1:$1048576,9,FALSE)</f>
        <v>100.724747474747</v>
      </c>
      <c r="S9" s="42">
        <f>IF(R9="-",3.2,MAX(MIN(IF(R9&gt;'测算稿 '!R$6,('测算稿 '!R$6-R9)*0.05+3.2,('测算稿 '!R$6-R9)*0.05+3.2),4),0))</f>
        <v>4</v>
      </c>
      <c r="T9" s="50">
        <f>VLOOKUP(B9,基础数!$1:$1048576,10,FALSE)</f>
        <v>0.958975346687211</v>
      </c>
      <c r="U9" s="42">
        <f>IF(T9="-",8,IF(T9&lt;1,MAX(MIN(IF(T9&gt;'测算稿 '!T$6,(T9-'测算稿 '!T$6)*100*0.5+8,(T9-'测算稿 '!T$6)*100*0.2+8),10),0),10))</f>
        <v>9.6151198320043</v>
      </c>
      <c r="V9" s="50">
        <f>VLOOKUP(B9,基础数!$1:$1048576,11,FALSE)</f>
        <v>0.914102564102564</v>
      </c>
      <c r="W9" s="42">
        <f>IF(V9="-",8,IF(V9&lt;1,MAX(MIN(IF(V9&gt;'测算稿 '!V$6,(V9-'测算稿 '!V$6)*100*0.5+8,(V9-'测算稿 '!V$6)*100*0.2+8),10),0),10))</f>
        <v>9.71005532481615</v>
      </c>
      <c r="X9" s="50">
        <f>VLOOKUP(B9,基础数!$1:$1048576,12,FALSE)</f>
        <v>0.878628277153558</v>
      </c>
      <c r="Y9" s="42">
        <f>IF(X9='测算稿 '!X$6,8,IF(X9&lt;1,MAX(MIN(IF(X9&gt;'测算稿 '!X$6,(X9-'测算稿 '!X$6)*100*0.4+8,(X9-'测算稿 '!X$6)*100*0.2+8),10),0),10))</f>
        <v>6.5380658198069</v>
      </c>
      <c r="Z9" s="55">
        <v>1.69817852200835</v>
      </c>
      <c r="AA9" s="42">
        <f>MIN(MAX(IF(Z9=0,10,IF(Z9&lt;'测算稿 '!Z$6,8+('测算稿 '!Z$6-Z9)*2,8+('测算稿 '!Z$6-Z9)*0.4)),0),10)</f>
        <v>7.67931082117473</v>
      </c>
      <c r="AB9" s="50">
        <f>VLOOKUP(B9,基础数!$1:$1048576,13,FALSE)</f>
        <v>0.00407800103803668</v>
      </c>
      <c r="AC9" s="50">
        <f>VLOOKUP(B9,基础数!$1:$1048576,14,FALSE)</f>
        <v>0.336851909344924</v>
      </c>
      <c r="AD9" s="50">
        <f>VLOOKUP(B9,基础数!$1:$1048576,15,FALSE)</f>
        <v>0.000468164794007491</v>
      </c>
      <c r="AE9" s="42">
        <f>MIN(2,IF(AB9&lt;'测算稿 '!AB$6*1.1,0,(AB9/'测算稿 '!AB$6-1.1)*10*0.4))+MIN(2,IF(AC9&lt;'测算稿 '!AC$6*1.1,0,(AC9/'测算稿 '!AC$6-1.1)*10*0.4))+MIN(2,IF(AD9&lt;'测算稿 '!AD$6*1.1,0,(AD9/'测算稿 '!AD$6-1.1)*10*0.4))</f>
        <v>0</v>
      </c>
    </row>
    <row r="10" s="28" customFormat="1" ht="15" customHeight="1" spans="1:31">
      <c r="A10" s="39">
        <f t="shared" si="0"/>
        <v>4</v>
      </c>
      <c r="B10" s="40" t="s">
        <v>119</v>
      </c>
      <c r="C10" s="36">
        <f t="shared" si="1"/>
        <v>88.7850515579166</v>
      </c>
      <c r="D10" s="41">
        <f>VLOOKUP(B10,基础数!$1:$1048576,2,FALSE)</f>
        <v>3.89088541666667</v>
      </c>
      <c r="E10" s="42">
        <f>IF(D10="-",9.6,MAX(MIN(IF(D10&gt;'测算稿 '!D$6,('测算稿 '!D$6-D10)*0.6+9.6,('测算稿 '!D$6-D10)*0.6+9.6),12),0))</f>
        <v>10.7625943938558</v>
      </c>
      <c r="F10" s="41">
        <f>VLOOKUP(B10,基础数!$1:$1048576,3,FALSE)</f>
        <v>96.4542682926829</v>
      </c>
      <c r="G10" s="42">
        <f>IF(F10="-",6.4,MAX(MIN(IF(F10&gt;'测算稿 '!F$6,('测算稿 '!F$6-F10)*0.1+6.4,('测算稿 '!F$6-F10)*0.1+6.4),8),0))</f>
        <v>6.59586972290963</v>
      </c>
      <c r="H10" s="41">
        <f>VLOOKUP(B10,基础数!$1:$1048576,4,FALSE)</f>
        <v>14.125</v>
      </c>
      <c r="I10" s="42">
        <f>IF(H10="-",9.6,MAX(MIN(IF(H10&gt;'测算稿 '!H$6,('测算稿 '!H$6-H10)*0.3+9.6,('测算稿 '!H$6-H10)*0.6+9.6),12),0))</f>
        <v>9.93361755933084</v>
      </c>
      <c r="J10" s="41">
        <f>VLOOKUP(B10,基础数!$1:$1048576,5,FALSE)</f>
        <v>85.0416666666667</v>
      </c>
      <c r="K10" s="42">
        <f>IF(J10="-",6.4,MAX(MIN(IF(J10&gt;'测算稿 '!J$6,('测算稿 '!J$6-J10)*0.1+6.4,('测算稿 '!J$6-J10)*0.2+6.4),8),0))</f>
        <v>6.27068769747235</v>
      </c>
      <c r="L10" s="41">
        <f>VLOOKUP(B10,基础数!$1:$1048576,6,FALSE)</f>
        <v>17.0907738095238</v>
      </c>
      <c r="M10" s="42">
        <f>IF(L10="-",4.8,MAX(MIN(IF(L10&gt;'测算稿 '!L$6,('测算稿 '!L$6-L10)*0.2+4.8,('测算稿 '!L$6-L10)*0.2+4.8),6),0))</f>
        <v>3.46775422908228</v>
      </c>
      <c r="N10" s="41">
        <f>VLOOKUP(B10,基础数!$1:$1048576,7,FALSE)</f>
        <v>30.9464285714286</v>
      </c>
      <c r="O10" s="42">
        <f>IF(N10="-",3.2,MAX(MIN(IF(N10&gt;'测算稿 '!N$6,('测算稿 '!N$6-N10)*0.05+3.2,('测算稿 '!N$6-N10)*0.05+3.2),4),0))</f>
        <v>4</v>
      </c>
      <c r="P10" s="41">
        <f>VLOOKUP(B10,基础数!$1:$1048576,8,FALSE)</f>
        <v>12.0654761904762</v>
      </c>
      <c r="Q10" s="42">
        <f>IF(P10="-",4.8,MAX(MIN(IF(P10&gt;'测算稿 '!P$6,('测算稿 '!P$6-P10)*0.2+4.8,('测算稿 '!P$6-P10)*0.2+4.8),6),0))</f>
        <v>6</v>
      </c>
      <c r="R10" s="41">
        <f>VLOOKUP(B10,基础数!$1:$1048576,9,FALSE)</f>
        <v>53.0087719298246</v>
      </c>
      <c r="S10" s="42">
        <f>IF(R10="-",3.2,MAX(MIN(IF(R10&gt;'测算稿 '!R$6,('测算稿 '!R$6-R10)*0.05+3.2,('测算稿 '!R$6-R10)*0.05+3.2),4),0))</f>
        <v>4</v>
      </c>
      <c r="T10" s="50">
        <f>VLOOKUP(B10,基础数!$1:$1048576,10,FALSE)</f>
        <v>1.00387596899225</v>
      </c>
      <c r="U10" s="42">
        <f>IF(T10="-",8,IF(T10&lt;1,MAX(MIN(IF(T10&gt;'测算稿 '!T$6,(T10-'测算稿 '!T$6)*100*0.5+8,(T10-'测算稿 '!T$6)*100*0.2+8),10),0),10))</f>
        <v>10</v>
      </c>
      <c r="V10" s="50">
        <f>VLOOKUP(B10,基础数!$1:$1048576,11,FALSE)</f>
        <v>1.01176470588235</v>
      </c>
      <c r="W10" s="42">
        <f>IF(V10="-",8,IF(V10&lt;1,MAX(MIN(IF(V10&gt;'测算稿 '!V$6,(V10-'测算稿 '!V$6)*100*0.5+8,(V10-'测算稿 '!V$6)*100*0.2+8),10),0),10))</f>
        <v>10</v>
      </c>
      <c r="X10" s="50">
        <f>VLOOKUP(B10,基础数!$1:$1048576,12,FALSE)</f>
        <v>1.02898550724638</v>
      </c>
      <c r="Y10" s="42">
        <f>IF(X10='测算稿 '!X$6,8,IF(X10&lt;1,MAX(MIN(IF(X10&gt;'测算稿 '!X$6,(X10-'测算稿 '!X$6)*100*0.4+8,(X10-'测算稿 '!X$6)*100*0.2+8),10),0),10))</f>
        <v>10</v>
      </c>
      <c r="Z10" s="55">
        <v>0</v>
      </c>
      <c r="AA10" s="42">
        <f>MIN(MAX(IF(Z10=0,10,IF(Z10&lt;'测算稿 '!Z$6,8+('测算稿 '!Z$6-Z10)*2,8+('测算稿 '!Z$6-Z10)*0.4)),0),10)</f>
        <v>10</v>
      </c>
      <c r="AB10" s="50">
        <f>VLOOKUP(B10,基础数!$1:$1048576,13,FALSE)</f>
        <v>0</v>
      </c>
      <c r="AC10" s="50">
        <f>VLOOKUP(B10,基础数!$1:$1048576,14,FALSE)</f>
        <v>0.388297872340426</v>
      </c>
      <c r="AD10" s="50">
        <f>VLOOKUP(B10,基础数!$1:$1048576,15,FALSE)</f>
        <v>0.00869565217391304</v>
      </c>
      <c r="AE10" s="42">
        <f>MIN(2,IF(AB10&lt;'测算稿 '!AB$6*1.1,0,(AB10/'测算稿 '!AB$6-1.1)*10*0.4))+MIN(2,IF(AC10&lt;'测算稿 '!AC$6*1.1,0,(AC10/'测算稿 '!AC$6-1.1)*10*0.4))+MIN(2,IF(AD10&lt;'测算稿 '!AD$6*1.1,0,(AD10/'测算稿 '!AD$6-1.1)*10*0.4))</f>
        <v>2.24547204473428</v>
      </c>
    </row>
    <row r="11" s="28" customFormat="1" ht="15" customHeight="1" spans="1:31">
      <c r="A11" s="39">
        <f t="shared" si="0"/>
        <v>5</v>
      </c>
      <c r="B11" s="43" t="s">
        <v>120</v>
      </c>
      <c r="C11" s="36">
        <f t="shared" si="1"/>
        <v>87.8208447733026</v>
      </c>
      <c r="D11" s="41">
        <f>VLOOKUP(B11,基础数!$1:$1048576,2,FALSE)</f>
        <v>3.20769720101781</v>
      </c>
      <c r="E11" s="42">
        <f>IF(D11="-",9.6,MAX(MIN(IF(D11&gt;'测算稿 '!D$6,('测算稿 '!D$6-D11)*0.6+9.6,('测算稿 '!D$6-D11)*0.6+9.6),12),0))</f>
        <v>11.1725073232451</v>
      </c>
      <c r="F11" s="41">
        <f>VLOOKUP(B11,基础数!$1:$1048576,3,FALSE)</f>
        <v>46.5441919191919</v>
      </c>
      <c r="G11" s="42">
        <f>IF(F11="-",6.4,MAX(MIN(IF(F11&gt;'测算稿 '!F$6,('测算稿 '!F$6-F11)*0.1+6.4,('测算稿 '!F$6-F11)*0.1+6.4),8),0))</f>
        <v>8</v>
      </c>
      <c r="H11" s="41">
        <f>VLOOKUP(B11,基础数!$1:$1048576,4,FALSE)</f>
        <v>12.2232704402516</v>
      </c>
      <c r="I11" s="42">
        <f>IF(H11="-",9.6,MAX(MIN(IF(H11&gt;'测算稿 '!H$6,('测算稿 '!H$6-H11)*0.3+9.6,('测算稿 '!H$6-H11)*0.6+9.6),12),0))</f>
        <v>11.0746552951799</v>
      </c>
      <c r="J11" s="41">
        <f>VLOOKUP(B11,基础数!$1:$1048576,5,FALSE)</f>
        <v>109.065972222222</v>
      </c>
      <c r="K11" s="42">
        <f>IF(J11="-",6.4,MAX(MIN(IF(J11&gt;'测算稿 '!J$6,('测算稿 '!J$6-J11)*0.1+6.4,('测算稿 '!J$6-J11)*0.2+6.4),8),0))</f>
        <v>3.86825714191682</v>
      </c>
      <c r="L11" s="41">
        <f>VLOOKUP(B11,基础数!$1:$1048576,6,FALSE)</f>
        <v>4.18551587301587</v>
      </c>
      <c r="M11" s="42">
        <f>IF(L11="-",4.8,MAX(MIN(IF(L11&gt;'测算稿 '!L$6,('测算稿 '!L$6-L11)*0.2+4.8,('测算稿 '!L$6-L11)*0.2+4.8),6),0))</f>
        <v>6</v>
      </c>
      <c r="N11" s="41">
        <f>VLOOKUP(B11,基础数!$1:$1048576,7,FALSE)</f>
        <v>48.5989583333333</v>
      </c>
      <c r="O11" s="42">
        <f>IF(N11="-",3.2,MAX(MIN(IF(N11&gt;'测算稿 '!N$6,('测算稿 '!N$6-N11)*0.05+3.2,('测算稿 '!N$6-N11)*0.05+3.2),4),0))</f>
        <v>4</v>
      </c>
      <c r="P11" s="41">
        <f>VLOOKUP(B11,基础数!$1:$1048576,8,FALSE)</f>
        <v>15.6277777777778</v>
      </c>
      <c r="Q11" s="42">
        <f>IF(P11="-",4.8,MAX(MIN(IF(P11&gt;'测算稿 '!P$6,('测算稿 '!P$6-P11)*0.2+4.8,('测算稿 '!P$6-P11)*0.2+4.8),6),0))</f>
        <v>6</v>
      </c>
      <c r="R11" s="41">
        <f>VLOOKUP(B11,基础数!$1:$1048576,9,FALSE)</f>
        <v>132.1875</v>
      </c>
      <c r="S11" s="42">
        <f>IF(R11="-",3.2,MAX(MIN(IF(R11&gt;'测算稿 '!R$6,('测算稿 '!R$6-R11)*0.05+3.2,('测算稿 '!R$6-R11)*0.05+3.2),4),0))</f>
        <v>2.83209935897435</v>
      </c>
      <c r="T11" s="50">
        <f>VLOOKUP(B11,基础数!$1:$1048576,10,FALSE)</f>
        <v>0.952586206896552</v>
      </c>
      <c r="U11" s="42">
        <f>IF(T11="-",8,IF(T11&lt;1,MAX(MIN(IF(T11&gt;'测算稿 '!T$6,(T11-'测算稿 '!T$6)*100*0.5+8,(T11-'测算稿 '!T$6)*100*0.2+8),10),0),10))</f>
        <v>9.29566284247135</v>
      </c>
      <c r="V11" s="50">
        <f>VLOOKUP(B11,基础数!$1:$1048576,11,FALSE)</f>
        <v>0.855769230769231</v>
      </c>
      <c r="W11" s="42">
        <f>IF(V11="-",8,IF(V11&lt;1,MAX(MIN(IF(V11&gt;'测算稿 '!V$6,(V11-'测算稿 '!V$6)*100*0.5+8,(V11-'测算稿 '!V$6)*100*0.2+8),10),0),10))</f>
        <v>7.5173554632598</v>
      </c>
      <c r="X11" s="50">
        <f>VLOOKUP(B11,基础数!$1:$1048576,12,FALSE)</f>
        <v>0.954838709677419</v>
      </c>
      <c r="Y11" s="42">
        <f>IF(X11='测算稿 '!X$6,8,IF(X11&lt;1,MAX(MIN(IF(X11&gt;'测算稿 '!X$6,(X11-'测算稿 '!X$6)*100*0.4+8,(X11-'测算稿 '!X$6)*100*0.2+8),10),0),10))</f>
        <v>8.12454894056824</v>
      </c>
      <c r="Z11" s="55">
        <v>0</v>
      </c>
      <c r="AA11" s="42">
        <f>MIN(MAX(IF(Z11=0,10,IF(Z11&lt;'测算稿 '!Z$6,8+('测算稿 '!Z$6-Z11)*2,8+('测算稿 '!Z$6-Z11)*0.4)),0),10)</f>
        <v>10</v>
      </c>
      <c r="AB11" s="50">
        <f>VLOOKUP(B11,基础数!$1:$1048576,13,FALSE)</f>
        <v>0</v>
      </c>
      <c r="AC11" s="50">
        <f>VLOOKUP(B11,基础数!$1:$1048576,14,FALSE)</f>
        <v>0.157608695652174</v>
      </c>
      <c r="AD11" s="50">
        <f>VLOOKUP(B11,基础数!$1:$1048576,15,FALSE)</f>
        <v>0.00645161290322581</v>
      </c>
      <c r="AE11" s="42">
        <f>MIN(2,IF(AB11&lt;'测算稿 '!AB$6*1.1,0,(AB11/'测算稿 '!AB$6-1.1)*10*0.4))+MIN(2,IF(AC11&lt;'测算稿 '!AC$6*1.1,0,(AC11/'测算稿 '!AC$6-1.1)*10*0.4))+MIN(2,IF(AD11&lt;'测算稿 '!AD$6*1.1,0,(AD11/'测算稿 '!AD$6-1.1)*10*0.4))</f>
        <v>0.064241592312972</v>
      </c>
    </row>
    <row r="12" s="28" customFormat="1" ht="15" customHeight="1" spans="1:31">
      <c r="A12" s="39">
        <f t="shared" si="0"/>
        <v>6</v>
      </c>
      <c r="B12" s="40" t="s">
        <v>121</v>
      </c>
      <c r="C12" s="36">
        <f t="shared" si="1"/>
        <v>87.3249224901837</v>
      </c>
      <c r="D12" s="41">
        <f>VLOOKUP(B12,基础数!$1:$1048576,2,FALSE)</f>
        <v>5.16145833333333</v>
      </c>
      <c r="E12" s="42">
        <f>IF(D12="-",9.6,MAX(MIN(IF(D12&gt;'测算稿 '!D$6,('测算稿 '!D$6-D12)*0.6+9.6,('测算稿 '!D$6-D12)*0.6+9.6),12),0))</f>
        <v>10.0002506438558</v>
      </c>
      <c r="F12" s="41">
        <f>VLOOKUP(B12,基础数!$1:$1048576,3,FALSE)</f>
        <v>53.9826388888889</v>
      </c>
      <c r="G12" s="42">
        <f>IF(F12="-",6.4,MAX(MIN(IF(F12&gt;'测算稿 '!F$6,('测算稿 '!F$6-F12)*0.1+6.4,('测算稿 '!F$6-F12)*0.1+6.4),8),0))</f>
        <v>8</v>
      </c>
      <c r="H12" s="41">
        <f>VLOOKUP(B12,基础数!$1:$1048576,4,FALSE)</f>
        <v>19.6646825396825</v>
      </c>
      <c r="I12" s="42">
        <f>IF(H12="-",9.6,MAX(MIN(IF(H12&gt;'测算稿 '!H$6,('测算稿 '!H$6-H12)*0.3+9.6,('测算稿 '!H$6-H12)*0.6+9.6),12),0))</f>
        <v>8.10490401776067</v>
      </c>
      <c r="J12" s="41">
        <f>VLOOKUP(B12,基础数!$1:$1048576,5,FALSE)</f>
        <v>69.6302083333333</v>
      </c>
      <c r="K12" s="42">
        <f>IF(J12="-",6.4,MAX(MIN(IF(J12&gt;'测算稿 '!J$6,('测算稿 '!J$6-J12)*0.1+6.4,('测算稿 '!J$6-J12)*0.2+6.4),8),0))</f>
        <v>8</v>
      </c>
      <c r="L12" s="41">
        <f>VLOOKUP(B12,基础数!$1:$1048576,6,FALSE)</f>
        <v>2.28661616161616</v>
      </c>
      <c r="M12" s="42">
        <f>IF(L12="-",4.8,MAX(MIN(IF(L12&gt;'测算稿 '!L$6,('测算稿 '!L$6-L12)*0.2+4.8,('测算稿 '!L$6-L12)*0.2+4.8),6),0))</f>
        <v>6</v>
      </c>
      <c r="N12" s="41">
        <f>VLOOKUP(B12,基础数!$1:$1048576,7,FALSE)</f>
        <v>27.3928571428571</v>
      </c>
      <c r="O12" s="42">
        <f>IF(N12="-",3.2,MAX(MIN(IF(N12&gt;'测算稿 '!N$6,('测算稿 '!N$6-N12)*0.05+3.2,('测算稿 '!N$6-N12)*0.05+3.2),4),0))</f>
        <v>4</v>
      </c>
      <c r="P12" s="41">
        <f>VLOOKUP(B12,基础数!$1:$1048576,8,FALSE)</f>
        <v>5.73611111111111</v>
      </c>
      <c r="Q12" s="42">
        <f>IF(P12="-",4.8,MAX(MIN(IF(P12&gt;'测算稿 '!P$6,('测算稿 '!P$6-P12)*0.2+4.8,('测算稿 '!P$6-P12)*0.2+4.8),6),0))</f>
        <v>6</v>
      </c>
      <c r="R12" s="48">
        <v>124.829487179487</v>
      </c>
      <c r="S12" s="42">
        <f>IF(R12="-",3.2,MAX(MIN(IF(R12&gt;'测算稿 '!R$6,('测算稿 '!R$6-R12)*0.05+3.2,('测算稿 '!R$6-R12)*0.05+3.2),4),0))</f>
        <v>3.2</v>
      </c>
      <c r="T12" s="50">
        <f>VLOOKUP(B12,基础数!$1:$1048576,10,FALSE)</f>
        <v>0.968253968253968</v>
      </c>
      <c r="U12" s="42">
        <f>IF(T12="-",8,IF(T12&lt;1,MAX(MIN(IF(T12&gt;'测算稿 '!T$6,(T12-'测算稿 '!T$6)*100*0.5+8,(T12-'测算稿 '!T$6)*100*0.2+8),10),0),10))</f>
        <v>10</v>
      </c>
      <c r="V12" s="50">
        <f>VLOOKUP(B12,基础数!$1:$1048576,11,FALSE)</f>
        <v>0.868421052631579</v>
      </c>
      <c r="W12" s="42">
        <f>IF(V12="-",8,IF(V12&lt;1,MAX(MIN(IF(V12&gt;'测算稿 '!V$6,(V12-'测算稿 '!V$6)*100*0.5+8,(V12-'测算稿 '!V$6)*100*0.2+8),10),0),10))</f>
        <v>7.77039190050676</v>
      </c>
      <c r="X12" s="50">
        <f>VLOOKUP(B12,基础数!$1:$1048576,12,FALSE)</f>
        <v>0.962962962962963</v>
      </c>
      <c r="Y12" s="42">
        <f>IF(X12='测算稿 '!X$6,8,IF(X12&lt;1,MAX(MIN(IF(X12&gt;'测算稿 '!X$6,(X12-'测算稿 '!X$6)*100*0.4+8,(X12-'测算稿 '!X$6)*100*0.2+8),10),0),10))</f>
        <v>8.44951907199</v>
      </c>
      <c r="Z12" s="55">
        <v>0</v>
      </c>
      <c r="AA12" s="42">
        <f>MIN(MAX(IF(Z12=0,10,IF(Z12&lt;'测算稿 '!Z$6,8+('测算稿 '!Z$6-Z12)*2,8+('测算稿 '!Z$6-Z12)*0.4)),0),10)</f>
        <v>10</v>
      </c>
      <c r="AB12" s="50">
        <f>VLOOKUP(B12,基础数!$1:$1048576,13,FALSE)</f>
        <v>0.0198300283286119</v>
      </c>
      <c r="AC12" s="50">
        <f>VLOOKUP(B12,基础数!$1:$1048576,14,FALSE)</f>
        <v>0.355223880597015</v>
      </c>
      <c r="AD12" s="50">
        <f>VLOOKUP(B12,基础数!$1:$1048576,15,FALSE)</f>
        <v>0.00462962962962963</v>
      </c>
      <c r="AE12" s="42">
        <f>MIN(2,IF(AB12&lt;'测算稿 '!AB$6*1.1,0,(AB12/'测算稿 '!AB$6-1.1)*10*0.4))+MIN(2,IF(AC12&lt;'测算稿 '!AC$6*1.1,0,(AC12/'测算稿 '!AC$6-1.1)*10*0.4))+MIN(2,IF(AD12&lt;'测算稿 '!AD$6*1.1,0,(AD12/'测算稿 '!AD$6-1.1)*10*0.4))</f>
        <v>2.20014314392948</v>
      </c>
    </row>
    <row r="13" s="28" customFormat="1" ht="15" customHeight="1" spans="1:31">
      <c r="A13" s="39">
        <f t="shared" si="0"/>
        <v>7</v>
      </c>
      <c r="B13" s="43" t="s">
        <v>122</v>
      </c>
      <c r="C13" s="36">
        <f t="shared" si="1"/>
        <v>84.0366010797013</v>
      </c>
      <c r="D13" s="41">
        <f>VLOOKUP(B13,基础数!$1:$1048576,2,FALSE)</f>
        <v>5.37528935185185</v>
      </c>
      <c r="E13" s="42">
        <f>IF(D13="-",9.6,MAX(MIN(IF(D13&gt;'测算稿 '!D$6,('测算稿 '!D$6-D13)*0.6+9.6,('测算稿 '!D$6-D13)*0.6+9.6),12),0))</f>
        <v>9.87195203274467</v>
      </c>
      <c r="F13" s="41">
        <f>VLOOKUP(B13,基础数!$1:$1048576,3,FALSE)</f>
        <v>107.227777777778</v>
      </c>
      <c r="G13" s="42">
        <f>IF(F13="-",6.4,MAX(MIN(IF(F13&gt;'测算稿 '!F$6,('测算稿 '!F$6-F13)*0.1+6.4,('测算稿 '!F$6-F13)*0.1+6.4),8),0))</f>
        <v>5.51851877440012</v>
      </c>
      <c r="H13" s="41">
        <f>VLOOKUP(B13,基础数!$1:$1048576,4,FALSE)</f>
        <v>17.434811827957</v>
      </c>
      <c r="I13" s="42">
        <f>IF(H13="-",9.6,MAX(MIN(IF(H13&gt;'测算稿 '!H$6,('测算稿 '!H$6-H13)*0.3+9.6,('测算稿 '!H$6-H13)*0.6+9.6),12),0))</f>
        <v>8.77386523127832</v>
      </c>
      <c r="J13" s="41">
        <f>VLOOKUP(B13,基础数!$1:$1048576,5,FALSE)</f>
        <v>93.4976851851852</v>
      </c>
      <c r="K13" s="42">
        <f>IF(J13="-",6.4,MAX(MIN(IF(J13&gt;'测算稿 '!J$6,('测算稿 '!J$6-J13)*0.1+6.4,('测算稿 '!J$6-J13)*0.2+6.4),8),0))</f>
        <v>5.4250858456205</v>
      </c>
      <c r="L13" s="41">
        <f>VLOOKUP(B13,基础数!$1:$1048576,6,FALSE)</f>
        <v>6.40191740412979</v>
      </c>
      <c r="M13" s="42">
        <f>IF(L13="-",4.8,MAX(MIN(IF(L13&gt;'测算稿 '!L$6,('测算稿 '!L$6-L13)*0.2+4.8,('测算稿 '!L$6-L13)*0.2+4.8),6),0))</f>
        <v>5.60552551016108</v>
      </c>
      <c r="N13" s="41">
        <f>VLOOKUP(B13,基础数!$1:$1048576,7,FALSE)</f>
        <v>91.6666666666667</v>
      </c>
      <c r="O13" s="42">
        <f>IF(N13="-",3.2,MAX(MIN(IF(N13&gt;'测算稿 '!N$6,('测算稿 '!N$6-N13)*0.05+3.2,('测算稿 '!N$6-N13)*0.05+3.2),4),0))</f>
        <v>4</v>
      </c>
      <c r="P13" s="41">
        <f>VLOOKUP(B13,基础数!$1:$1048576,8,FALSE)</f>
        <v>10.6533018867925</v>
      </c>
      <c r="Q13" s="42">
        <f>IF(P13="-",4.8,MAX(MIN(IF(P13&gt;'测算稿 '!P$6,('测算稿 '!P$6-P13)*0.2+4.8,('测算稿 '!P$6-P13)*0.2+4.8),6),0))</f>
        <v>6</v>
      </c>
      <c r="R13" s="41">
        <f>VLOOKUP(B13,基础数!$1:$1048576,9,FALSE)</f>
        <v>106.315</v>
      </c>
      <c r="S13" s="42">
        <f>IF(R13="-",3.2,MAX(MIN(IF(R13&gt;'测算稿 '!R$6,('测算稿 '!R$6-R13)*0.05+3.2,('测算稿 '!R$6-R13)*0.05+3.2),4),0))</f>
        <v>4</v>
      </c>
      <c r="T13" s="50">
        <f>VLOOKUP(B13,基础数!$1:$1048576,10,FALSE)</f>
        <v>0.973913043478261</v>
      </c>
      <c r="U13" s="42">
        <f>IF(T13="-",8,IF(T13&lt;1,MAX(MIN(IF(T13&gt;'测算稿 '!T$6,(T13-'测算稿 '!T$6)*100*0.5+8,(T13-'测算稿 '!T$6)*100*0.2+8),10),0),10))</f>
        <v>10</v>
      </c>
      <c r="V13" s="50">
        <f>VLOOKUP(B13,基础数!$1:$1048576,11,FALSE)</f>
        <v>0.898477157360406</v>
      </c>
      <c r="W13" s="42">
        <f>IF(V13="-",8,IF(V13&lt;1,MAX(MIN(IF(V13&gt;'测算稿 '!V$6,(V13-'测算稿 '!V$6)*100*0.5+8,(V13-'测算稿 '!V$6)*100*0.2+8),10),0),10))</f>
        <v>8.92878498770825</v>
      </c>
      <c r="X13" s="50">
        <f>VLOOKUP(B13,基础数!$1:$1048576,12,FALSE)</f>
        <v>0.947368421052632</v>
      </c>
      <c r="Y13" s="42">
        <f>IF(X13='测算稿 '!X$6,8,IF(X13&lt;1,MAX(MIN(IF(X13&gt;'测算稿 '!X$6,(X13-'测算稿 '!X$6)*100*0.4+8,(X13-'测算稿 '!X$6)*100*0.2+8),10),0),10))</f>
        <v>7.91286869778838</v>
      </c>
      <c r="Z13" s="55">
        <v>0</v>
      </c>
      <c r="AA13" s="42">
        <f>MIN(MAX(IF(Z13=0,10,IF(Z13&lt;'测算稿 '!Z$6,8+('测算稿 '!Z$6-Z13)*2,8+('测算稿 '!Z$6-Z13)*0.4)),0),10)</f>
        <v>10</v>
      </c>
      <c r="AB13" s="50">
        <f>VLOOKUP(B13,基础数!$1:$1048576,13,FALSE)</f>
        <v>0.0414364640883977</v>
      </c>
      <c r="AC13" s="50">
        <f>VLOOKUP(B13,基础数!$1:$1048576,14,FALSE)</f>
        <v>0.228571428571429</v>
      </c>
      <c r="AD13" s="50">
        <f>VLOOKUP(B13,基础数!$1:$1048576,15,FALSE)</f>
        <v>0</v>
      </c>
      <c r="AE13" s="42">
        <f>MIN(2,IF(AB13&lt;'测算稿 '!AB$6*1.1,0,(AB13/'测算稿 '!AB$6-1.1)*10*0.4))+MIN(2,IF(AC13&lt;'测算稿 '!AC$6*1.1,0,(AC13/'测算稿 '!AC$6-1.1)*10*0.4))+MIN(2,IF(AD13&lt;'测算稿 '!AD$6*1.1,0,(AD13/'测算稿 '!AD$6-1.1)*10*0.4))</f>
        <v>2</v>
      </c>
    </row>
    <row r="14" s="28" customFormat="1" ht="15" customHeight="1" spans="1:31">
      <c r="A14" s="39">
        <f t="shared" si="0"/>
        <v>8</v>
      </c>
      <c r="B14" s="43" t="s">
        <v>123</v>
      </c>
      <c r="C14" s="36">
        <f t="shared" si="1"/>
        <v>84.0326415944376</v>
      </c>
      <c r="D14" s="41">
        <f>VLOOKUP(B14,基础数!$1:$1048576,2,FALSE)</f>
        <v>4.12009803921569</v>
      </c>
      <c r="E14" s="42">
        <f>IF(D14="-",9.6,MAX(MIN(IF(D14&gt;'测算稿 '!D$6,('测算稿 '!D$6-D14)*0.6+9.6,('测算稿 '!D$6-D14)*0.6+9.6),12),0))</f>
        <v>10.6250668203264</v>
      </c>
      <c r="F14" s="41">
        <f>VLOOKUP(B14,基础数!$1:$1048576,3,FALSE)</f>
        <v>94.209649122807</v>
      </c>
      <c r="G14" s="42">
        <f>IF(F14="-",6.4,MAX(MIN(IF(F14&gt;'测算稿 '!F$6,('测算稿 '!F$6-F14)*0.1+6.4,('测算稿 '!F$6-F14)*0.1+6.4),8),0))</f>
        <v>6.82033163989722</v>
      </c>
      <c r="H14" s="41">
        <f>VLOOKUP(B14,基础数!$1:$1048576,4,FALSE)</f>
        <v>12.0375551544324</v>
      </c>
      <c r="I14" s="42">
        <f>IF(H14="-",9.6,MAX(MIN(IF(H14&gt;'测算稿 '!H$6,('测算稿 '!H$6-H14)*0.3+9.6,('测算稿 '!H$6-H14)*0.6+9.6),12),0))</f>
        <v>11.1860844666714</v>
      </c>
      <c r="J14" s="41">
        <f>VLOOKUP(B14,基础数!$1:$1048576,5,FALSE)</f>
        <v>53.0402046783626</v>
      </c>
      <c r="K14" s="42">
        <f>IF(J14="-",6.4,MAX(MIN(IF(J14&gt;'测算稿 '!J$6,('测算稿 '!J$6-J14)*0.1+6.4,('测算稿 '!J$6-J14)*0.2+6.4),8),0))</f>
        <v>8</v>
      </c>
      <c r="L14" s="41">
        <f>VLOOKUP(B14,基础数!$1:$1048576,6,FALSE)</f>
        <v>7.67921313506815</v>
      </c>
      <c r="M14" s="42">
        <f>IF(L14="-",4.8,MAX(MIN(IF(L14&gt;'测算稿 '!L$6,('测算稿 '!L$6-L14)*0.2+4.8,('测算稿 '!L$6-L14)*0.2+4.8),6),0))</f>
        <v>5.35006636397341</v>
      </c>
      <c r="N14" s="41">
        <f>VLOOKUP(B14,基础数!$1:$1048576,7,FALSE)</f>
        <v>88.4243421052632</v>
      </c>
      <c r="O14" s="42">
        <f>IF(N14="-",3.2,MAX(MIN(IF(N14&gt;'测算稿 '!N$6,('测算稿 '!N$6-N14)*0.05+3.2,('测算稿 '!N$6-N14)*0.05+3.2),4),0))</f>
        <v>4</v>
      </c>
      <c r="P14" s="41">
        <f>VLOOKUP(B14,基础数!$1:$1048576,8,FALSE)</f>
        <v>39.9996843434343</v>
      </c>
      <c r="Q14" s="42">
        <f>IF(P14="-",4.8,MAX(MIN(IF(P14&gt;'测算稿 '!P$6,('测算稿 '!P$6-P14)*0.2+4.8,('测算稿 '!P$6-P14)*0.2+4.8),6),0))</f>
        <v>1.33244309317828</v>
      </c>
      <c r="R14" s="41">
        <f>VLOOKUP(B14,基础数!$1:$1048576,9,FALSE)</f>
        <v>119.235294117647</v>
      </c>
      <c r="S14" s="42">
        <f>IF(R14="-",3.2,MAX(MIN(IF(R14&gt;'测算稿 '!R$6,('测算稿 '!R$6-R14)*0.05+3.2,('测算稿 '!R$6-R14)*0.05+3.2),4),0))</f>
        <v>3.479709653092</v>
      </c>
      <c r="T14" s="50">
        <f>VLOOKUP(B14,基础数!$1:$1048576,10,FALSE)</f>
        <v>0.872619047619048</v>
      </c>
      <c r="U14" s="42">
        <f>IF(T14="-",8,IF(T14&lt;1,MAX(MIN(IF(T14&gt;'测算稿 '!T$6,(T14-'测算稿 '!T$6)*100*0.5+8,(T14-'测算稿 '!T$6)*100*0.2+8),10),0),10))</f>
        <v>6.91892195143846</v>
      </c>
      <c r="V14" s="50">
        <f>VLOOKUP(B14,基础数!$1:$1048576,11,FALSE)</f>
        <v>0.815415821501014</v>
      </c>
      <c r="W14" s="42">
        <f>IF(V14="-",8,IF(V14&lt;1,MAX(MIN(IF(V14&gt;'测算稿 '!V$6,(V14-'测算稿 '!V$6)*100*0.5+8,(V14-'测算稿 '!V$6)*100*0.2+8),10),0),10))</f>
        <v>6.71028727789546</v>
      </c>
      <c r="X14" s="50">
        <f>VLOOKUP(B14,基础数!$1:$1048576,12,FALSE)</f>
        <v>0.998502994011976</v>
      </c>
      <c r="Y14" s="42">
        <f>IF(X14='测算稿 '!X$6,8,IF(X14&lt;1,MAX(MIN(IF(X14&gt;'测算稿 '!X$6,(X14-'测算稿 '!X$6)*100*0.4+8,(X14-'测算稿 '!X$6)*100*0.2+8),10),0),10))</f>
        <v>9.87112031395052</v>
      </c>
      <c r="Z14" s="55">
        <v>0</v>
      </c>
      <c r="AA14" s="42">
        <f>MIN(MAX(IF(Z14=0,10,IF(Z14&lt;'测算稿 '!Z$6,8+('测算稿 '!Z$6-Z14)*2,8+('测算稿 '!Z$6-Z14)*0.4)),0),10)</f>
        <v>10</v>
      </c>
      <c r="AB14" s="50">
        <f>VLOOKUP(B14,基础数!$1:$1048576,13,FALSE)</f>
        <v>0</v>
      </c>
      <c r="AC14" s="50">
        <f>VLOOKUP(B14,基础数!$1:$1048576,14,FALSE)</f>
        <v>0.315749039692702</v>
      </c>
      <c r="AD14" s="50">
        <f>VLOOKUP(B14,基础数!$1:$1048576,15,FALSE)</f>
        <v>0.00673652694610779</v>
      </c>
      <c r="AE14" s="42">
        <f>MIN(2,IF(AB14&lt;'测算稿 '!AB$6*1.1,0,(AB14/'测算稿 '!AB$6-1.1)*10*0.4))+MIN(2,IF(AC14&lt;'测算稿 '!AC$6*1.1,0,(AC14/'测算稿 '!AC$6-1.1)*10*0.4))+MIN(2,IF(AD14&lt;'测算稿 '!AD$6*1.1,0,(AD14/'测算稿 '!AD$6-1.1)*10*0.4))</f>
        <v>0.261389985985478</v>
      </c>
    </row>
    <row r="15" s="28" customFormat="1" ht="15" customHeight="1" spans="1:31">
      <c r="A15" s="39">
        <f t="shared" si="0"/>
        <v>9</v>
      </c>
      <c r="B15" s="40" t="s">
        <v>124</v>
      </c>
      <c r="C15" s="36">
        <f t="shared" si="1"/>
        <v>83.0982814149697</v>
      </c>
      <c r="D15" s="41">
        <f>VLOOKUP(B15,基础数!$1:$1048576,2,FALSE)</f>
        <v>4.44136726546906</v>
      </c>
      <c r="E15" s="42">
        <f>IF(D15="-",9.6,MAX(MIN(IF(D15&gt;'测算稿 '!D$6,('测算稿 '!D$6-D15)*0.6+9.6,('测算稿 '!D$6-D15)*0.6+9.6),12),0))</f>
        <v>10.4323052845743</v>
      </c>
      <c r="F15" s="41">
        <f>VLOOKUP(B15,基础数!$1:$1048576,3,FALSE)</f>
        <v>88.0732323232323</v>
      </c>
      <c r="G15" s="42">
        <f>IF(F15="-",6.4,MAX(MIN(IF(F15&gt;'测算稿 '!F$6,('测算稿 '!F$6-F15)*0.1+6.4,('测算稿 '!F$6-F15)*0.1+6.4),8),0))</f>
        <v>7.43397331985469</v>
      </c>
      <c r="H15" s="41">
        <f>VLOOKUP(B15,基础数!$1:$1048576,4,FALSE)</f>
        <v>27.1464354527938</v>
      </c>
      <c r="I15" s="42">
        <f>IF(H15="-",9.6,MAX(MIN(IF(H15&gt;'测算稿 '!H$6,('测算稿 '!H$6-H15)*0.3+9.6,('测算稿 '!H$6-H15)*0.6+9.6),12),0))</f>
        <v>5.86037814382728</v>
      </c>
      <c r="J15" s="41">
        <f>VLOOKUP(B15,基础数!$1:$1048576,5,FALSE)</f>
        <v>100.770325203252</v>
      </c>
      <c r="K15" s="42">
        <f>IF(J15="-",6.4,MAX(MIN(IF(J15&gt;'测算稿 '!J$6,('测算稿 '!J$6-J15)*0.1+6.4,('测算稿 '!J$6-J15)*0.2+6.4),8),0))</f>
        <v>4.69782184381382</v>
      </c>
      <c r="L15" s="41">
        <f>VLOOKUP(B15,基础数!$1:$1048576,6,FALSE)</f>
        <v>2.38095238095238</v>
      </c>
      <c r="M15" s="42">
        <f>IF(L15="-",4.8,MAX(MIN(IF(L15&gt;'测算稿 '!L$6,('测算稿 '!L$6-L15)*0.2+4.8,('测算稿 '!L$6-L15)*0.2+4.8),6),0))</f>
        <v>6</v>
      </c>
      <c r="N15" s="41">
        <f>VLOOKUP(B15,基础数!$1:$1048576,7,FALSE)</f>
        <v>126.671296296296</v>
      </c>
      <c r="O15" s="42">
        <f>IF(N15="-",3.2,MAX(MIN(IF(N15&gt;'测算稿 '!N$6,('测算稿 '!N$6-N15)*0.05+3.2,('测算稿 '!N$6-N15)*0.05+3.2),4),0))</f>
        <v>2.4795257729828</v>
      </c>
      <c r="P15" s="41">
        <f>VLOOKUP(B15,基础数!$1:$1048576,8,FALSE)</f>
        <v>4.27696078431373</v>
      </c>
      <c r="Q15" s="42">
        <f>IF(P15="-",4.8,MAX(MIN(IF(P15&gt;'测算稿 '!P$6,('测算稿 '!P$6-P15)*0.2+4.8,('测算稿 '!P$6-P15)*0.2+4.8),6),0))</f>
        <v>6</v>
      </c>
      <c r="R15" s="41">
        <f>VLOOKUP(B15,基础数!$1:$1048576,9,FALSE)</f>
        <v>27.6805555555556</v>
      </c>
      <c r="S15" s="42">
        <f>IF(R15="-",3.2,MAX(MIN(IF(R15&gt;'测算稿 '!R$6,('测算稿 '!R$6-R15)*0.05+3.2,('测算稿 '!R$6-R15)*0.05+3.2),4),0))</f>
        <v>4</v>
      </c>
      <c r="T15" s="50">
        <f>VLOOKUP(B15,基础数!$1:$1048576,10,FALSE)</f>
        <v>0.958254269449715</v>
      </c>
      <c r="U15" s="42">
        <f>IF(T15="-",8,IF(T15&lt;1,MAX(MIN(IF(T15&gt;'测算稿 '!T$6,(T15-'测算稿 '!T$6)*100*0.5+8,(T15-'测算稿 '!T$6)*100*0.2+8),10),0),10))</f>
        <v>9.5790659701295</v>
      </c>
      <c r="V15" s="50">
        <f>VLOOKUP(B15,基础数!$1:$1048576,11,FALSE)</f>
        <v>0.9375</v>
      </c>
      <c r="W15" s="42">
        <f>IF(V15="-",8,IF(V15&lt;1,MAX(MIN(IF(V15&gt;'测算稿 '!V$6,(V15-'测算稿 '!V$6)*100*0.5+8,(V15-'测算稿 '!V$6)*100*0.2+8),10),0),10))</f>
        <v>10</v>
      </c>
      <c r="X15" s="50">
        <f>VLOOKUP(B15,基础数!$1:$1048576,12,FALSE)</f>
        <v>0.967105263157895</v>
      </c>
      <c r="Y15" s="42">
        <f>IF(X15='测算稿 '!X$6,8,IF(X15&lt;1,MAX(MIN(IF(X15&gt;'测算稿 '!X$6,(X15-'测算稿 '!X$6)*100*0.4+8,(X15-'测算稿 '!X$6)*100*0.2+8),10),0),10))</f>
        <v>8.61521107978728</v>
      </c>
      <c r="Z15" s="55">
        <v>0</v>
      </c>
      <c r="AA15" s="42">
        <f>MIN(MAX(IF(Z15=0,10,IF(Z15&lt;'测算稿 '!Z$6,8+('测算稿 '!Z$6-Z15)*2,8+('测算稿 '!Z$6-Z15)*0.4)),0),10)</f>
        <v>10</v>
      </c>
      <c r="AB15" s="50">
        <f>VLOOKUP(B15,基础数!$1:$1048576,13,FALSE)</f>
        <v>0.0136986301369864</v>
      </c>
      <c r="AC15" s="50">
        <f>VLOOKUP(B15,基础数!$1:$1048576,14,FALSE)</f>
        <v>0.0787878787878788</v>
      </c>
      <c r="AD15" s="50">
        <f>VLOOKUP(B15,基础数!$1:$1048576,15,FALSE)</f>
        <v>0.00394736842105263</v>
      </c>
      <c r="AE15" s="42">
        <f>MIN(2,IF(AB15&lt;'测算稿 '!AB$6*1.1,0,(AB15/'测算稿 '!AB$6-1.1)*10*0.4))+MIN(2,IF(AC15&lt;'测算稿 '!AC$6*1.1,0,(AC15/'测算稿 '!AC$6-1.1)*10*0.4))+MIN(2,IF(AD15&lt;'测算稿 '!AD$6*1.1,0,(AD15/'测算稿 '!AD$6-1.1)*10*0.4))</f>
        <v>2</v>
      </c>
    </row>
    <row r="16" s="28" customFormat="1" ht="15" customHeight="1" spans="1:31">
      <c r="A16" s="39">
        <f t="shared" si="0"/>
        <v>10</v>
      </c>
      <c r="B16" s="40" t="s">
        <v>125</v>
      </c>
      <c r="C16" s="36">
        <f t="shared" si="1"/>
        <v>82.2369885045459</v>
      </c>
      <c r="D16" s="41">
        <f>VLOOKUP(B16,基础数!$1:$1048576,2,FALSE)</f>
        <v>4.25721153846154</v>
      </c>
      <c r="E16" s="42">
        <f>IF(D16="-",9.6,MAX(MIN(IF(D16&gt;'测算稿 '!D$6,('测算稿 '!D$6-D16)*0.6+9.6,('测算稿 '!D$6-D16)*0.6+9.6),12),0))</f>
        <v>10.5427987207789</v>
      </c>
      <c r="F16" s="41">
        <f>VLOOKUP(B16,基础数!$1:$1048576,3,FALSE)</f>
        <v>104.065476190476</v>
      </c>
      <c r="G16" s="42">
        <f>IF(F16="-",6.4,MAX(MIN(IF(F16&gt;'测算稿 '!F$6,('测算稿 '!F$6-F16)*0.1+6.4,('测算稿 '!F$6-F16)*0.1+6.4),8),0))</f>
        <v>5.83474893313032</v>
      </c>
      <c r="H16" s="41">
        <f>VLOOKUP(B16,基础数!$1:$1048576,4,FALSE)</f>
        <v>3.22916666666667</v>
      </c>
      <c r="I16" s="42">
        <f>IF(H16="-",9.6,MAX(MIN(IF(H16&gt;'测算稿 '!H$6,('测算稿 '!H$6-H16)*0.3+9.6,('测算稿 '!H$6-H16)*0.6+9.6),12),0))</f>
        <v>12</v>
      </c>
      <c r="J16" s="41">
        <f>VLOOKUP(B16,基础数!$1:$1048576,5,FALSE)</f>
        <v>38.8229166666667</v>
      </c>
      <c r="K16" s="42">
        <f>IF(J16="-",6.4,MAX(MIN(IF(J16&gt;'测算稿 '!J$6,('测算稿 '!J$6-J16)*0.1+6.4,('测算稿 '!J$6-J16)*0.2+6.4),8),0))</f>
        <v>8</v>
      </c>
      <c r="L16" s="41">
        <f>VLOOKUP(B16,基础数!$1:$1048576,6,FALSE)</f>
        <v>7.95528455284553</v>
      </c>
      <c r="M16" s="42">
        <f>IF(L16="-",4.8,MAX(MIN(IF(L16&gt;'测算稿 '!L$6,('测算稿 '!L$6-L16)*0.2+4.8,('测算稿 '!L$6-L16)*0.2+4.8),6),0))</f>
        <v>5.29485208041793</v>
      </c>
      <c r="N16" s="41">
        <f>VLOOKUP(B16,基础数!$1:$1048576,7,FALSE)</f>
        <v>199.336538461538</v>
      </c>
      <c r="O16" s="42">
        <f>IF(N16="-",3.2,MAX(MIN(IF(N16&gt;'测算稿 '!N$6,('测算稿 '!N$6-N16)*0.05+3.2,('测算稿 '!N$6-N16)*0.05+3.2),4),0))</f>
        <v>0</v>
      </c>
      <c r="P16" s="41">
        <f>VLOOKUP(B16,基础数!$1:$1048576,8,FALSE)</f>
        <v>54.8049242424242</v>
      </c>
      <c r="Q16" s="42">
        <f>IF(P16="-",4.8,MAX(MIN(IF(P16&gt;'测算稿 '!P$6,('测算稿 '!P$6-P16)*0.2+4.8,('测算稿 '!P$6-P16)*0.2+4.8),6),0))</f>
        <v>0</v>
      </c>
      <c r="R16" s="41">
        <f>VLOOKUP(B16,基础数!$1:$1048576,9,FALSE)</f>
        <v>141.138888888889</v>
      </c>
      <c r="S16" s="42">
        <f>IF(R16="-",3.2,MAX(MIN(IF(R16&gt;'测算稿 '!R$6,('测算稿 '!R$6-R16)*0.05+3.2,('测算稿 '!R$6-R16)*0.05+3.2),4),0))</f>
        <v>2.3845299145299</v>
      </c>
      <c r="T16" s="50">
        <f>VLOOKUP(B16,基础数!$1:$1048576,10,FALSE)</f>
        <v>1.1214953271028</v>
      </c>
      <c r="U16" s="42">
        <f>IF(T16="-",8,IF(T16&lt;1,MAX(MIN(IF(T16&gt;'测算稿 '!T$6,(T16-'测算稿 '!T$6)*100*0.5+8,(T16-'测算稿 '!T$6)*100*0.2+8),10),0),10))</f>
        <v>10</v>
      </c>
      <c r="V16" s="50">
        <f>VLOOKUP(B16,基础数!$1:$1048576,11,FALSE)</f>
        <v>1.22857142857143</v>
      </c>
      <c r="W16" s="42">
        <f>IF(V16="-",8,IF(V16&lt;1,MAX(MIN(IF(V16&gt;'测算稿 '!V$6,(V16-'测算稿 '!V$6)*100*0.5+8,(V16-'测算稿 '!V$6)*100*0.2+8),10),0),10))</f>
        <v>10</v>
      </c>
      <c r="X16" s="50">
        <f>VLOOKUP(B16,基础数!$1:$1048576,12,FALSE)</f>
        <v>0.969325153374233</v>
      </c>
      <c r="Y16" s="42">
        <f>IF(X16='测算稿 '!X$6,8,IF(X16&lt;1,MAX(MIN(IF(X16&gt;'测算稿 '!X$6,(X16-'测算稿 '!X$6)*100*0.4+8,(X16-'测算稿 '!X$6)*100*0.2+8),10),0),10))</f>
        <v>8.7040066884408</v>
      </c>
      <c r="Z16" s="55">
        <v>0</v>
      </c>
      <c r="AA16" s="42">
        <f>MIN(MAX(IF(Z16=0,10,IF(Z16&lt;'测算稿 '!Z$6,8+('测算稿 '!Z$6-Z16)*2,8+('测算稿 '!Z$6-Z16)*0.4)),0),10)</f>
        <v>10</v>
      </c>
      <c r="AB16" s="50">
        <f>VLOOKUP(B16,基础数!$1:$1048576,13,FALSE)</f>
        <v>0</v>
      </c>
      <c r="AC16" s="50">
        <f>VLOOKUP(B16,基础数!$1:$1048576,14,FALSE)</f>
        <v>0.380228136882129</v>
      </c>
      <c r="AD16" s="50">
        <f>VLOOKUP(B16,基础数!$1:$1048576,15,FALSE)</f>
        <v>0</v>
      </c>
      <c r="AE16" s="42">
        <f>MIN(2,IF(AB16&lt;'测算稿 '!AB$6*1.1,0,(AB16/'测算稿 '!AB$6-1.1)*10*0.4))+MIN(2,IF(AC16&lt;'测算稿 '!AC$6*1.1,0,(AC16/'测算稿 '!AC$6-1.1)*10*0.4))+MIN(2,IF(AD16&lt;'测算稿 '!AD$6*1.1,0,(AD16/'测算稿 '!AD$6-1.1)*10*0.4))</f>
        <v>0.523947832751937</v>
      </c>
    </row>
    <row r="17" s="28" customFormat="1" ht="15" customHeight="1" spans="1:31">
      <c r="A17" s="39">
        <f t="shared" si="0"/>
        <v>11</v>
      </c>
      <c r="B17" s="43" t="s">
        <v>126</v>
      </c>
      <c r="C17" s="36">
        <f t="shared" si="1"/>
        <v>82.0841308459324</v>
      </c>
      <c r="D17" s="41">
        <f>VLOOKUP(B17,基础数!$1:$1048576,2,FALSE)</f>
        <v>12.47</v>
      </c>
      <c r="E17" s="42">
        <f>IF(D17="-",9.6,MAX(MIN(IF(D17&gt;'测算稿 '!D$6,('测算稿 '!D$6-D17)*0.6+9.6,('测算稿 '!D$6-D17)*0.6+9.6),12),0))</f>
        <v>5.61512564385578</v>
      </c>
      <c r="F17" s="41">
        <f>VLOOKUP(B17,基础数!$1:$1048576,3,FALSE)</f>
        <v>119.107843137255</v>
      </c>
      <c r="G17" s="42">
        <f>IF(F17="-",6.4,MAX(MIN(IF(F17&gt;'测算稿 '!F$6,('测算稿 '!F$6-F17)*0.1+6.4,('测算稿 '!F$6-F17)*0.1+6.4),8),0))</f>
        <v>4.33051223845242</v>
      </c>
      <c r="H17" s="41">
        <f>VLOOKUP(B17,基础数!$1:$1048576,4,FALSE)</f>
        <v>10.780753968254</v>
      </c>
      <c r="I17" s="42">
        <f>IF(H17="-",9.6,MAX(MIN(IF(H17&gt;'测算稿 '!H$6,('测算稿 '!H$6-H17)*0.3+9.6,('测算稿 '!H$6-H17)*0.6+9.6),12),0))</f>
        <v>11.9401651783784</v>
      </c>
      <c r="J17" s="41">
        <f>VLOOKUP(B17,基础数!$1:$1048576,5,FALSE)</f>
        <v>81.6089743589744</v>
      </c>
      <c r="K17" s="42">
        <f>IF(J17="-",6.4,MAX(MIN(IF(J17&gt;'测算稿 '!J$6,('测算稿 '!J$6-J17)*0.1+6.4,('测算稿 '!J$6-J17)*0.2+6.4),8),0))</f>
        <v>6.82791385648316</v>
      </c>
      <c r="L17" s="41">
        <f>VLOOKUP(B17,基础数!$1:$1048576,6,FALSE)</f>
        <v>8.52333333333333</v>
      </c>
      <c r="M17" s="42">
        <f>IF(L17="-",4.8,MAX(MIN(IF(L17&gt;'测算稿 '!L$6,('测算稿 '!L$6-L17)*0.2+4.8,('测算稿 '!L$6-L17)*0.2+4.8),6),0))</f>
        <v>5.18124232432037</v>
      </c>
      <c r="N17" s="41">
        <f>VLOOKUP(B17,基础数!$1:$1048576,7,FALSE)</f>
        <v>51.875</v>
      </c>
      <c r="O17" s="42">
        <f>IF(N17="-",3.2,MAX(MIN(IF(N17&gt;'测算稿 '!N$6,('测算稿 '!N$6-N17)*0.05+3.2,('测算稿 '!N$6-N17)*0.05+3.2),4),0))</f>
        <v>4</v>
      </c>
      <c r="P17" s="41">
        <f>VLOOKUP(B17,基础数!$1:$1048576,8,FALSE)</f>
        <v>7.61622807017544</v>
      </c>
      <c r="Q17" s="42">
        <f>IF(P17="-",4.8,MAX(MIN(IF(P17&gt;'测算稿 '!P$6,('测算稿 '!P$6-P17)*0.2+4.8,('测算稿 '!P$6-P17)*0.2+4.8),6),0))</f>
        <v>6</v>
      </c>
      <c r="R17" s="41">
        <f>VLOOKUP(B17,基础数!$1:$1048576,9,FALSE)</f>
        <v>26.6145833333333</v>
      </c>
      <c r="S17" s="42">
        <f>IF(R17="-",3.2,MAX(MIN(IF(R17&gt;'测算稿 '!R$6,('测算稿 '!R$6-R17)*0.05+3.2,('测算稿 '!R$6-R17)*0.05+3.2),4),0))</f>
        <v>4</v>
      </c>
      <c r="T17" s="50">
        <f>VLOOKUP(B17,基础数!$1:$1048576,10,FALSE)</f>
        <v>0.826388888888889</v>
      </c>
      <c r="U17" s="42">
        <f>IF(T17="-",8,IF(T17&lt;1,MAX(MIN(IF(T17&gt;'测算稿 '!T$6,(T17-'测算稿 '!T$6)*100*0.5+8,(T17-'测算稿 '!T$6)*100*0.2+8),10),0),10))</f>
        <v>5.99431877683528</v>
      </c>
      <c r="V17" s="50">
        <f>VLOOKUP(B17,基础数!$1:$1048576,11,FALSE)</f>
        <v>0.901098901098901</v>
      </c>
      <c r="W17" s="42">
        <f>IF(V17="-",8,IF(V17&lt;1,MAX(MIN(IF(V17&gt;'测算稿 '!V$6,(V17-'测算稿 '!V$6)*100*0.5+8,(V17-'测算稿 '!V$6)*100*0.2+8),10),0),10))</f>
        <v>9.059872174633</v>
      </c>
      <c r="X17" s="50">
        <f>VLOOKUP(B17,基础数!$1:$1048576,12,FALSE)</f>
        <v>0.980099502487562</v>
      </c>
      <c r="Y17" s="42">
        <f>IF(X17='测算稿 '!X$6,8,IF(X17&lt;1,MAX(MIN(IF(X17&gt;'测算稿 '!X$6,(X17-'测算稿 '!X$6)*100*0.4+8,(X17-'测算稿 '!X$6)*100*0.2+8),10),0),10))</f>
        <v>9.13498065297396</v>
      </c>
      <c r="Z17" s="55">
        <v>0</v>
      </c>
      <c r="AA17" s="42">
        <f>MIN(MAX(IF(Z17=0,10,IF(Z17&lt;'测算稿 '!Z$6,8+('测算稿 '!Z$6-Z17)*2,8+('测算稿 '!Z$6-Z17)*0.4)),0),10)</f>
        <v>10</v>
      </c>
      <c r="AB17" s="50">
        <f>VLOOKUP(B17,基础数!$1:$1048576,13,FALSE)</f>
        <v>0</v>
      </c>
      <c r="AC17" s="50">
        <f>VLOOKUP(B17,基础数!$1:$1048576,14,FALSE)</f>
        <v>0.217898832684825</v>
      </c>
      <c r="AD17" s="50">
        <f>VLOOKUP(B17,基础数!$1:$1048576,15,FALSE)</f>
        <v>0</v>
      </c>
      <c r="AE17" s="42">
        <f>MIN(2,IF(AB17&lt;'测算稿 '!AB$6*1.1,0,(AB17/'测算稿 '!AB$6-1.1)*10*0.4))+MIN(2,IF(AC17&lt;'测算稿 '!AC$6*1.1,0,(AC17/'测算稿 '!AC$6-1.1)*10*0.4))+MIN(2,IF(AD17&lt;'测算稿 '!AD$6*1.1,0,(AD17/'测算稿 '!AD$6-1.1)*10*0.4))</f>
        <v>0</v>
      </c>
    </row>
    <row r="18" s="28" customFormat="1" ht="15" customHeight="1" spans="1:31">
      <c r="A18" s="39">
        <f t="shared" si="0"/>
        <v>12</v>
      </c>
      <c r="B18" s="43" t="s">
        <v>70</v>
      </c>
      <c r="C18" s="36">
        <f t="shared" si="1"/>
        <v>82</v>
      </c>
      <c r="D18" s="44">
        <v>5.82854273975963</v>
      </c>
      <c r="E18" s="42">
        <f>IF(D18="-",9.6,MAX(MIN(IF(D18&gt;'测算稿 '!D$6,('测算稿 '!D$6-D18)*0.6+9.6,('测算稿 '!D$6-D18)*0.6+9.6),12),0))</f>
        <v>9.6</v>
      </c>
      <c r="F18" s="44">
        <v>98.4129655217792</v>
      </c>
      <c r="G18" s="42">
        <f>IF(F18="-",6.4,MAX(MIN(IF(F18&gt;'测算稿 '!F$6,('测算稿 '!F$6-F18)*0.1+6.4,('测算稿 '!F$6-F18)*0.1+6.4),8),0))</f>
        <v>6.4</v>
      </c>
      <c r="H18" s="44">
        <v>14.6810292655514</v>
      </c>
      <c r="I18" s="42">
        <f>IF(H18="-",9.6,MAX(MIN(IF(H18&gt;'测算稿 '!H$6,('测算稿 '!H$6-H18)*0.3+9.6,('测算稿 '!H$6-H18)*0.6+9.6),12),0))</f>
        <v>9.6</v>
      </c>
      <c r="J18" s="44">
        <v>83.7485436413902</v>
      </c>
      <c r="K18" s="42">
        <f>IF(J18="-",6.4,MAX(MIN(IF(J18&gt;'测算稿 '!J$6,('测算稿 '!J$6-J18)*0.1+6.4,('测算稿 '!J$6-J18)*0.2+6.4),8),0))</f>
        <v>6.4</v>
      </c>
      <c r="L18" s="47">
        <v>10.4295449549352</v>
      </c>
      <c r="M18" s="42">
        <f>IF(L18="-",4.8,MAX(MIN(IF(L18&gt;'测算稿 '!L$6,('测算稿 '!L$6-L18)*0.2+4.8,('测算稿 '!L$6-L18)*0.2+4.8),6),0))</f>
        <v>4.8</v>
      </c>
      <c r="N18" s="47">
        <v>112.261811755952</v>
      </c>
      <c r="O18" s="42">
        <f>IF(N18="-",3.2,MAX(MIN(IF(N18&gt;'测算稿 '!N$6,('测算稿 '!N$6-N18)*0.05+3.2,('测算稿 '!N$6-N18)*0.05+3.2),4),0))</f>
        <v>3.2</v>
      </c>
      <c r="P18" s="48">
        <v>22.6618998093257</v>
      </c>
      <c r="Q18" s="42">
        <f>IF(P18="-",4.8,MAX(MIN(IF(P18&gt;'测算稿 '!P$6,('测算稿 '!P$6-P18)*0.2+4.8,('测算稿 '!P$6-P18)*0.2+4.8),6),0))</f>
        <v>4.8</v>
      </c>
      <c r="R18" s="48">
        <v>124.829487179487</v>
      </c>
      <c r="S18" s="42">
        <f>IF(R18="-",3.2,MAX(MIN(IF(R18&gt;'测算稿 '!R$6,('测算稿 '!R$6-R18)*0.05+3.2,('测算稿 '!R$6-R18)*0.05+3.2),4),0))</f>
        <v>3.2</v>
      </c>
      <c r="T18" s="51">
        <v>0.926672950047125</v>
      </c>
      <c r="U18" s="42">
        <f>IF(T18="-",8,IF(T18&lt;1,MAX(MIN(IF(T18&gt;'测算稿 '!T$6,(T18-'测算稿 '!T$6)*100*0.5+8,(T18-'测算稿 '!T$6)*100*0.2+8),10),0),10))</f>
        <v>8</v>
      </c>
      <c r="V18" s="51">
        <v>0.879901457606241</v>
      </c>
      <c r="W18" s="42">
        <f>IF(V18="-",8,IF(V18&lt;1,MAX(MIN(IF(V18&gt;'测算稿 '!V$6,(V18-'测算稿 '!V$6)*100*0.5+8,(V18-'测算稿 '!V$6)*100*0.2+8),10),0),10))</f>
        <v>8</v>
      </c>
      <c r="X18" s="51">
        <v>0.951724986163213</v>
      </c>
      <c r="Y18" s="42">
        <f>IF(X18='测算稿 '!X$6,8,IF(X18&lt;1,MAX(MIN(IF(X18&gt;'测算稿 '!X$6,(X18-'测算稿 '!X$6)*100*0.4+8,(X18-'测算稿 '!X$6)*100*0.2+8),10),0),10))</f>
        <v>8</v>
      </c>
      <c r="Z18" s="55">
        <v>0</v>
      </c>
      <c r="AA18" s="42">
        <f>MIN(MAX(IF(Z18=0,10,IF(Z18&lt;'测算稿 '!Z$6,8+('测算稿 '!Z$6-Z18)*2,8+('测算稿 '!Z$6-Z18)*0.4)),0),10)</f>
        <v>10</v>
      </c>
      <c r="AB18" s="51">
        <v>0.00656791779254851</v>
      </c>
      <c r="AC18" s="51">
        <v>0.308880719127866</v>
      </c>
      <c r="AD18" s="51">
        <v>0.00578070229383187</v>
      </c>
      <c r="AE18" s="42">
        <f>MIN(2,IF(AB18&lt;'测算稿 '!AB$6*1.1,0,(AB18/'测算稿 '!AB$6-1.1)*10*0.4))+MIN(2,IF(AC18&lt;'测算稿 '!AC$6*1.1,0,(AC18/'测算稿 '!AC$6-1.1)*10*0.4))+MIN(2,IF(AD18&lt;'测算稿 '!AD$6*1.1,0,(AD18/'测算稿 '!AD$6-1.1)*10*0.4))</f>
        <v>0</v>
      </c>
    </row>
    <row r="19" s="28" customFormat="1" ht="15" customHeight="1" spans="1:31">
      <c r="A19" s="39">
        <f t="shared" si="0"/>
        <v>13</v>
      </c>
      <c r="B19" s="43" t="s">
        <v>127</v>
      </c>
      <c r="C19" s="36">
        <f t="shared" si="1"/>
        <v>81.8224849802454</v>
      </c>
      <c r="D19" s="41">
        <f>VLOOKUP(B19,基础数!$1:$1048576,2,FALSE)</f>
        <v>6.63087828492393</v>
      </c>
      <c r="E19" s="42">
        <f>IF(D19="-",9.6,MAX(MIN(IF(D19&gt;'测算稿 '!D$6,('测算稿 '!D$6-D19)*0.6+9.6,('测算稿 '!D$6-D19)*0.6+9.6),12),0))</f>
        <v>9.11859867290142</v>
      </c>
      <c r="F19" s="41">
        <f>VLOOKUP(B19,基础数!$1:$1048576,3,FALSE)</f>
        <v>106.382716049383</v>
      </c>
      <c r="G19" s="42">
        <f>IF(F19="-",6.4,MAX(MIN(IF(F19&gt;'测算稿 '!F$6,('测算稿 '!F$6-F19)*0.1+6.4,('测算稿 '!F$6-F19)*0.1+6.4),8),0))</f>
        <v>5.60302494723962</v>
      </c>
      <c r="H19" s="41">
        <f>VLOOKUP(B19,基础数!$1:$1048576,4,FALSE)</f>
        <v>12.7277594728171</v>
      </c>
      <c r="I19" s="42">
        <f>IF(H19="-",9.6,MAX(MIN(IF(H19&gt;'测算稿 '!H$6,('测算稿 '!H$6-H19)*0.3+9.6,('测算稿 '!H$6-H19)*0.6+9.6),12),0))</f>
        <v>10.7719618756406</v>
      </c>
      <c r="J19" s="41">
        <f>VLOOKUP(B19,基础数!$1:$1048576,5,FALSE)</f>
        <v>73.7238023952096</v>
      </c>
      <c r="K19" s="42">
        <f>IF(J19="-",6.4,MAX(MIN(IF(J19&gt;'测算稿 '!J$6,('测算稿 '!J$6-J19)*0.1+6.4,('测算稿 '!J$6-J19)*0.2+6.4),8),0))</f>
        <v>8</v>
      </c>
      <c r="L19" s="41">
        <f>VLOOKUP(B19,基础数!$1:$1048576,6,FALSE)</f>
        <v>7.60323886639676</v>
      </c>
      <c r="M19" s="42">
        <f>IF(L19="-",4.8,MAX(MIN(IF(L19&gt;'测算稿 '!L$6,('测算稿 '!L$6-L19)*0.2+4.8,('测算稿 '!L$6-L19)*0.2+4.8),6),0))</f>
        <v>5.36526121770769</v>
      </c>
      <c r="N19" s="41">
        <f>VLOOKUP(B19,基础数!$1:$1048576,7,FALSE)</f>
        <v>156.223214285714</v>
      </c>
      <c r="O19" s="42">
        <f>IF(N19="-",3.2,MAX(MIN(IF(N19&gt;'测算稿 '!N$6,('测算稿 '!N$6-N19)*0.05+3.2,('测算稿 '!N$6-N19)*0.05+3.2),4),0))</f>
        <v>1.0019298735119</v>
      </c>
      <c r="P19" s="41">
        <f>VLOOKUP(B19,基础数!$1:$1048576,8,FALSE)</f>
        <v>16.7168715846995</v>
      </c>
      <c r="Q19" s="42">
        <f>IF(P19="-",4.8,MAX(MIN(IF(P19&gt;'测算稿 '!P$6,('测算稿 '!P$6-P19)*0.2+4.8,('测算稿 '!P$6-P19)*0.2+4.8),6),0))</f>
        <v>5.98900564492524</v>
      </c>
      <c r="R19" s="41">
        <f>VLOOKUP(B19,基础数!$1:$1048576,9,FALSE)</f>
        <v>139.157852564103</v>
      </c>
      <c r="S19" s="42">
        <f>IF(R19="-",3.2,MAX(MIN(IF(R19&gt;'测算稿 '!R$6,('测算稿 '!R$6-R19)*0.05+3.2,('测算稿 '!R$6-R19)*0.05+3.2),4),0))</f>
        <v>2.4835817307692</v>
      </c>
      <c r="T19" s="50">
        <f>VLOOKUP(B19,基础数!$1:$1048576,10,FALSE)</f>
        <v>0.919106317411402</v>
      </c>
      <c r="U19" s="42">
        <f>IF(T19="-",8,IF(T19&lt;1,MAX(MIN(IF(T19&gt;'测算稿 '!T$6,(T19-'测算稿 '!T$6)*100*0.5+8,(T19-'测算稿 '!T$6)*100*0.2+8),10),0),10))</f>
        <v>7.84866734728554</v>
      </c>
      <c r="V19" s="50">
        <f>VLOOKUP(B19,基础数!$1:$1048576,11,FALSE)</f>
        <v>0.899906454630496</v>
      </c>
      <c r="W19" s="42">
        <f>IF(V19="-",8,IF(V19&lt;1,MAX(MIN(IF(V19&gt;'测算稿 '!V$6,(V19-'测算稿 '!V$6)*100*0.5+8,(V19-'测算稿 '!V$6)*100*0.2+8),10),0),10))</f>
        <v>9.00024985121275</v>
      </c>
      <c r="X19" s="50">
        <f>VLOOKUP(B19,基础数!$1:$1048576,12,FALSE)</f>
        <v>0.991183294663573</v>
      </c>
      <c r="Y19" s="42">
        <f>IF(X19='测算稿 '!X$6,8,IF(X19&lt;1,MAX(MIN(IF(X19&gt;'测算稿 '!X$6,(X19-'测算稿 '!X$6)*100*0.4+8,(X19-'测算稿 '!X$6)*100*0.2+8),10),0),10))</f>
        <v>9.5783323400144</v>
      </c>
      <c r="Z19" s="55">
        <v>0</v>
      </c>
      <c r="AA19" s="42">
        <f>MIN(MAX(IF(Z19=0,10,IF(Z19&lt;'测算稿 '!Z$6,8+('测算稿 '!Z$6-Z19)*2,8+('测算稿 '!Z$6-Z19)*0.4)),0),10)</f>
        <v>10</v>
      </c>
      <c r="AB19" s="50">
        <f>VLOOKUP(B19,基础数!$1:$1048576,13,FALSE)</f>
        <v>0.00925640234495528</v>
      </c>
      <c r="AC19" s="50">
        <f>VLOOKUP(B19,基础数!$1:$1048576,14,FALSE)</f>
        <v>0.281427142380794</v>
      </c>
      <c r="AD19" s="50">
        <f>VLOOKUP(B19,基础数!$1:$1048576,15,FALSE)</f>
        <v>0.00881670533642691</v>
      </c>
      <c r="AE19" s="42">
        <f>MIN(2,IF(AB19&lt;'测算稿 '!AB$6*1.1,0,(AB19/'测算稿 '!AB$6-1.1)*10*0.4))+MIN(2,IF(AC19&lt;'测算稿 '!AC$6*1.1,0,(AC19/'测算稿 '!AC$6-1.1)*10*0.4))+MIN(2,IF(AD19&lt;'测算稿 '!AD$6*1.1,0,(AD19/'测算稿 '!AD$6-1.1)*10*0.4))</f>
        <v>2.93812852096294</v>
      </c>
    </row>
    <row r="20" s="28" customFormat="1" ht="15" customHeight="1" spans="1:31">
      <c r="A20" s="39">
        <f t="shared" si="0"/>
        <v>14</v>
      </c>
      <c r="B20" s="43" t="s">
        <v>50</v>
      </c>
      <c r="C20" s="36">
        <f t="shared" si="1"/>
        <v>80.8448434385428</v>
      </c>
      <c r="D20" s="41">
        <f>VLOOKUP(B20,基础数!$1:$1048576,2,FALSE)</f>
        <v>3.93812189054726</v>
      </c>
      <c r="E20" s="42">
        <f>IF(D20="-",9.6,MAX(MIN(IF(D20&gt;'测算稿 '!D$6,('测算稿 '!D$6-D20)*0.6+9.6,('测算稿 '!D$6-D20)*0.6+9.6),12),0))</f>
        <v>10.7342525095274</v>
      </c>
      <c r="F20" s="41">
        <f>VLOOKUP(B20,基础数!$1:$1048576,3,FALSE)</f>
        <v>128.09188034188</v>
      </c>
      <c r="G20" s="42">
        <f>IF(F20="-",6.4,MAX(MIN(IF(F20&gt;'测算稿 '!F$6,('测算稿 '!F$6-F20)*0.1+6.4,('测算稿 '!F$6-F20)*0.1+6.4),8),0))</f>
        <v>3.43210851798992</v>
      </c>
      <c r="H20" s="41">
        <f>VLOOKUP(B20,基础数!$1:$1048576,4,FALSE)</f>
        <v>10.4047619047619</v>
      </c>
      <c r="I20" s="42">
        <f>IF(H20="-",9.6,MAX(MIN(IF(H20&gt;'测算稿 '!H$6,('测算稿 '!H$6-H20)*0.3+9.6,('测算稿 '!H$6-H20)*0.6+9.6),12),0))</f>
        <v>12</v>
      </c>
      <c r="J20" s="41">
        <f>VLOOKUP(B20,基础数!$1:$1048576,5,FALSE)</f>
        <v>92.1909722222222</v>
      </c>
      <c r="K20" s="42">
        <f>IF(J20="-",6.4,MAX(MIN(IF(J20&gt;'测算稿 '!J$6,('测算稿 '!J$6-J20)*0.1+6.4,('测算稿 '!J$6-J20)*0.2+6.4),8),0))</f>
        <v>5.5557571419168</v>
      </c>
      <c r="L20" s="41">
        <f>VLOOKUP(B20,基础数!$1:$1048576,6,FALSE)</f>
        <v>6.01438492063492</v>
      </c>
      <c r="M20" s="42">
        <f>IF(L20="-",4.8,MAX(MIN(IF(L20&gt;'测算稿 '!L$6,('测算稿 '!L$6-L20)*0.2+4.8,('测算稿 '!L$6-L20)*0.2+4.8),6),0))</f>
        <v>5.68303200686006</v>
      </c>
      <c r="N20" s="41">
        <f>VLOOKUP(B20,基础数!$1:$1048576,7,FALSE)</f>
        <v>87.1166666666667</v>
      </c>
      <c r="O20" s="42">
        <f>IF(N20="-",3.2,MAX(MIN(IF(N20&gt;'测算稿 '!N$6,('测算稿 '!N$6-N20)*0.05+3.2,('测算稿 '!N$6-N20)*0.05+3.2),4),0))</f>
        <v>4</v>
      </c>
      <c r="P20" s="41">
        <f>VLOOKUP(B20,基础数!$1:$1048576,8,FALSE)</f>
        <v>14.6222222222222</v>
      </c>
      <c r="Q20" s="42">
        <f>IF(P20="-",4.8,MAX(MIN(IF(P20&gt;'测算稿 '!P$6,('测算稿 '!P$6-P20)*0.2+4.8,('测算稿 '!P$6-P20)*0.2+4.8),6),0))</f>
        <v>6</v>
      </c>
      <c r="R20" s="41">
        <f>VLOOKUP(B20,基础数!$1:$1048576,9,FALSE)</f>
        <v>170.860119047619</v>
      </c>
      <c r="S20" s="42">
        <f>IF(R20="-",3.2,MAX(MIN(IF(R20&gt;'测算稿 '!R$6,('测算稿 '!R$6-R20)*0.05+3.2,('测算稿 '!R$6-R20)*0.05+3.2),4),0))</f>
        <v>0.8984684065934</v>
      </c>
      <c r="T20" s="50">
        <f>VLOOKUP(B20,基础数!$1:$1048576,10,FALSE)</f>
        <v>0.925081433224756</v>
      </c>
      <c r="U20" s="42">
        <f>IF(T20="-",8,IF(T20&lt;1,MAX(MIN(IF(T20&gt;'测算稿 '!T$6,(T20-'测算稿 '!T$6)*100*0.5+8,(T20-'测算稿 '!T$6)*100*0.2+8),10),0),10))</f>
        <v>7.96816966355262</v>
      </c>
      <c r="V20" s="50">
        <f>VLOOKUP(B20,基础数!$1:$1048576,11,FALSE)</f>
        <v>0.86697247706422</v>
      </c>
      <c r="W20" s="42">
        <f>IF(V20="-",8,IF(V20&lt;1,MAX(MIN(IF(V20&gt;'测算稿 '!V$6,(V20-'测算稿 '!V$6)*100*0.5+8,(V20-'测算稿 '!V$6)*100*0.2+8),10),0),10))</f>
        <v>7.74142038915958</v>
      </c>
      <c r="X20" s="50">
        <f>VLOOKUP(B20,基础数!$1:$1048576,12,FALSE)</f>
        <v>0.972515856236787</v>
      </c>
      <c r="Y20" s="42">
        <f>IF(X20='测算稿 '!X$6,8,IF(X20&lt;1,MAX(MIN(IF(X20&gt;'测算稿 '!X$6,(X20-'测算稿 '!X$6)*100*0.4+8,(X20-'测算稿 '!X$6)*100*0.2+8),10),0),10))</f>
        <v>8.83163480294296</v>
      </c>
      <c r="Z20" s="55">
        <v>0</v>
      </c>
      <c r="AA20" s="42">
        <f>MIN(MAX(IF(Z20=0,10,IF(Z20&lt;'测算稿 '!Z$6,8+('测算稿 '!Z$6-Z20)*2,8+('测算稿 '!Z$6-Z20)*0.4)),0),10)</f>
        <v>10</v>
      </c>
      <c r="AB20" s="50">
        <f>VLOOKUP(B20,基础数!$1:$1048576,13,FALSE)</f>
        <v>0.00648508430609596</v>
      </c>
      <c r="AC20" s="50">
        <f>VLOOKUP(B20,基础数!$1:$1048576,14,FALSE)</f>
        <v>0.337535014005602</v>
      </c>
      <c r="AD20" s="50">
        <f>VLOOKUP(B20,基础数!$1:$1048576,15,FALSE)</f>
        <v>0.0147991543340381</v>
      </c>
      <c r="AE20" s="42">
        <f>MIN(2,IF(AB20&lt;'测算稿 '!AB$6*1.1,0,(AB20/'测算稿 '!AB$6-1.1)*10*0.4))+MIN(2,IF(AC20&lt;'测算稿 '!AC$6*1.1,0,(AC20/'测算稿 '!AC$6-1.1)*10*0.4))+MIN(2,IF(AD20&lt;'测算稿 '!AD$6*1.1,0,(AD20/'测算稿 '!AD$6-1.1)*10*0.4))</f>
        <v>2</v>
      </c>
    </row>
    <row r="21" s="28" customFormat="1" ht="15" customHeight="1" spans="1:31">
      <c r="A21" s="39">
        <f t="shared" si="0"/>
        <v>15</v>
      </c>
      <c r="B21" s="43" t="s">
        <v>128</v>
      </c>
      <c r="C21" s="36">
        <f t="shared" si="1"/>
        <v>80.823735540861</v>
      </c>
      <c r="D21" s="41">
        <f>VLOOKUP(B21,基础数!$1:$1048576,2,FALSE)</f>
        <v>15.7653846153846</v>
      </c>
      <c r="E21" s="42">
        <f>IF(D21="-",9.6,MAX(MIN(IF(D21&gt;'测算稿 '!D$6,('测算稿 '!D$6-D21)*0.6+9.6,('测算稿 '!D$6-D21)*0.6+9.6),12),0))</f>
        <v>3.63789487462502</v>
      </c>
      <c r="F21" s="41">
        <f>VLOOKUP(B21,基础数!$1:$1048576,3,FALSE)</f>
        <v>62.1315789473684</v>
      </c>
      <c r="G21" s="42">
        <f>IF(F21="-",6.4,MAX(MIN(IF(F21&gt;'测算稿 '!F$6,('测算稿 '!F$6-F21)*0.1+6.4,('测算稿 '!F$6-F21)*0.1+6.4),8),0))</f>
        <v>8</v>
      </c>
      <c r="H21" s="41">
        <f>VLOOKUP(B21,基础数!$1:$1048576,4,FALSE)</f>
        <v>20.5224358974359</v>
      </c>
      <c r="I21" s="42">
        <f>IF(H21="-",9.6,MAX(MIN(IF(H21&gt;'测算稿 '!H$6,('测算稿 '!H$6-H21)*0.3+9.6,('测算稿 '!H$6-H21)*0.6+9.6),12),0))</f>
        <v>7.84757801043465</v>
      </c>
      <c r="J21" s="41">
        <f>VLOOKUP(B21,基础数!$1:$1048576,5,FALSE)</f>
        <v>55.3541666666667</v>
      </c>
      <c r="K21" s="42">
        <f>IF(J21="-",6.4,MAX(MIN(IF(J21&gt;'测算稿 '!J$6,('测算稿 '!J$6-J21)*0.1+6.4,('测算稿 '!J$6-J21)*0.2+6.4),8),0))</f>
        <v>8</v>
      </c>
      <c r="L21" s="41">
        <f>VLOOKUP(B21,基础数!$1:$1048576,6,FALSE)</f>
        <v>14</v>
      </c>
      <c r="M21" s="42">
        <f>IF(L21="-",4.8,MAX(MIN(IF(L21&gt;'测算稿 '!L$6,('测算稿 '!L$6-L21)*0.2+4.8,('测算稿 '!L$6-L21)*0.2+4.8),6),0))</f>
        <v>4.08590899098704</v>
      </c>
      <c r="N21" s="41">
        <f>VLOOKUP(B21,基础数!$1:$1048576,7,FALSE)</f>
        <v>1.70833333333333</v>
      </c>
      <c r="O21" s="42">
        <f>IF(N21="-",3.2,MAX(MIN(IF(N21&gt;'测算稿 '!N$6,('测算稿 '!N$6-N21)*0.05+3.2,('测算稿 '!N$6-N21)*0.05+3.2),4),0))</f>
        <v>4</v>
      </c>
      <c r="P21" s="48">
        <v>22.6618998093257</v>
      </c>
      <c r="Q21" s="42">
        <f>IF(P21="-",4.8,MAX(MIN(IF(P21&gt;'测算稿 '!P$6,('测算稿 '!P$6-P21)*0.2+4.8,('测算稿 '!P$6-P21)*0.2+4.8),6),0))</f>
        <v>4.8</v>
      </c>
      <c r="R21" s="48">
        <v>124.829487179487</v>
      </c>
      <c r="S21" s="42">
        <f>IF(R21="-",3.2,MAX(MIN(IF(R21&gt;'测算稿 '!R$6,('测算稿 '!R$6-R21)*0.05+3.2,('测算稿 '!R$6-R21)*0.05+3.2),4),0))</f>
        <v>3.2</v>
      </c>
      <c r="T21" s="50">
        <f>VLOOKUP(B21,基础数!$1:$1048576,10,FALSE)</f>
        <v>0.903225806451613</v>
      </c>
      <c r="U21" s="42">
        <f>IF(T21="-",8,IF(T21&lt;1,MAX(MIN(IF(T21&gt;'测算稿 '!T$6,(T21-'测算稿 '!T$6)*100*0.5+8,(T21-'测算稿 '!T$6)*100*0.2+8),10),0),10))</f>
        <v>7.53105712808976</v>
      </c>
      <c r="V21" s="50">
        <f>VLOOKUP(B21,基础数!$1:$1048576,11,FALSE)</f>
        <v>1</v>
      </c>
      <c r="W21" s="42">
        <f>IF(V21="-",8,IF(V21&lt;1,MAX(MIN(IF(V21&gt;'测算稿 '!V$6,(V21-'测算稿 '!V$6)*100*0.5+8,(V21-'测算稿 '!V$6)*100*0.2+8),10),0),10))</f>
        <v>10</v>
      </c>
      <c r="X21" s="50">
        <f>VLOOKUP(B21,基础数!$1:$1048576,12,FALSE)</f>
        <v>1.02020202020202</v>
      </c>
      <c r="Y21" s="42">
        <f>IF(X21='测算稿 '!X$6,8,IF(X21&lt;1,MAX(MIN(IF(X21&gt;'测算稿 '!X$6,(X21-'测算稿 '!X$6)*100*0.4+8,(X21-'测算稿 '!X$6)*100*0.2+8),10),0),10))</f>
        <v>10</v>
      </c>
      <c r="Z21" s="55">
        <v>0</v>
      </c>
      <c r="AA21" s="42">
        <f>MIN(MAX(IF(Z21=0,10,IF(Z21&lt;'测算稿 '!Z$6,8+('测算稿 '!Z$6-Z21)*2,8+('测算稿 '!Z$6-Z21)*0.4)),0),10)</f>
        <v>10</v>
      </c>
      <c r="AB21" s="50">
        <f>VLOOKUP(B21,基础数!$1:$1048576,13,FALSE)</f>
        <v>0</v>
      </c>
      <c r="AC21" s="50">
        <f>VLOOKUP(B21,基础数!$1:$1048576,14,FALSE)</f>
        <v>0.361290322580645</v>
      </c>
      <c r="AD21" s="50">
        <f>VLOOKUP(B21,基础数!$1:$1048576,15,FALSE)</f>
        <v>0</v>
      </c>
      <c r="AE21" s="42">
        <f>MIN(2,IF(AB21&lt;'测算稿 '!AB$6*1.1,0,(AB21/'测算稿 '!AB$6-1.1)*10*0.4))+MIN(2,IF(AC21&lt;'测算稿 '!AC$6*1.1,0,(AC21/'测算稿 '!AC$6-1.1)*10*0.4))+MIN(2,IF(AD21&lt;'测算稿 '!AD$6*1.1,0,(AD21/'测算稿 '!AD$6-1.1)*10*0.4))</f>
        <v>0.278703463275519</v>
      </c>
    </row>
    <row r="22" s="28" customFormat="1" ht="15" customHeight="1" spans="1:31">
      <c r="A22" s="39">
        <f t="shared" si="0"/>
        <v>16</v>
      </c>
      <c r="B22" s="43" t="s">
        <v>129</v>
      </c>
      <c r="C22" s="36">
        <f t="shared" si="1"/>
        <v>79.3430943543387</v>
      </c>
      <c r="D22" s="41">
        <f>VLOOKUP(B22,基础数!$1:$1048576,2,FALSE)</f>
        <v>4.93407172995781</v>
      </c>
      <c r="E22" s="42">
        <f>IF(D22="-",9.6,MAX(MIN(IF(D22&gt;'测算稿 '!D$6,('测算稿 '!D$6-D22)*0.6+9.6,('测算稿 '!D$6-D22)*0.6+9.6),12),0))</f>
        <v>10.1366826058811</v>
      </c>
      <c r="F22" s="41">
        <f>VLOOKUP(B22,基础数!$1:$1048576,3,FALSE)</f>
        <v>99.59375</v>
      </c>
      <c r="G22" s="42">
        <f>IF(F22="-",6.4,MAX(MIN(IF(F22&gt;'测算稿 '!F$6,('测算稿 '!F$6-F22)*0.1+6.4,('测算稿 '!F$6-F22)*0.1+6.4),8),0))</f>
        <v>6.28192155217792</v>
      </c>
      <c r="H22" s="41">
        <f>VLOOKUP(B22,基础数!$1:$1048576,4,FALSE)</f>
        <v>8.45963541666667</v>
      </c>
      <c r="I22" s="42">
        <f>IF(H22="-",9.6,MAX(MIN(IF(H22&gt;'测算稿 '!H$6,('测算稿 '!H$6-H22)*0.3+9.6,('测算稿 '!H$6-H22)*0.6+9.6),12),0))</f>
        <v>12</v>
      </c>
      <c r="J22" s="41">
        <f>VLOOKUP(B22,基础数!$1:$1048576,5,FALSE)</f>
        <v>79.4345238095238</v>
      </c>
      <c r="K22" s="42">
        <f>IF(J22="-",6.4,MAX(MIN(IF(J22&gt;'测算稿 '!J$6,('测算稿 '!J$6-J22)*0.1+6.4,('测算稿 '!J$6-J22)*0.2+6.4),8),0))</f>
        <v>7.26280396637328</v>
      </c>
      <c r="L22" s="41">
        <f>VLOOKUP(B22,基础数!$1:$1048576,6,FALSE)</f>
        <v>6.325</v>
      </c>
      <c r="M22" s="42">
        <f>IF(L22="-",4.8,MAX(MIN(IF(L22&gt;'测算稿 '!L$6,('测算稿 '!L$6-L22)*0.2+4.8,('测算稿 '!L$6-L22)*0.2+4.8),6),0))</f>
        <v>5.62090899098704</v>
      </c>
      <c r="N22" s="41">
        <f>VLOOKUP(B22,基础数!$1:$1048576,7,FALSE)</f>
        <v>347.916666666667</v>
      </c>
      <c r="O22" s="42">
        <f>IF(N22="-",3.2,MAX(MIN(IF(N22&gt;'测算稿 '!N$6,('测算稿 '!N$6-N22)*0.05+3.2,('测算稿 '!N$6-N22)*0.05+3.2),4),0))</f>
        <v>0</v>
      </c>
      <c r="P22" s="41">
        <f>VLOOKUP(B22,基础数!$1:$1048576,8,FALSE)</f>
        <v>1.08333333333333</v>
      </c>
      <c r="Q22" s="42">
        <f>IF(P22="-",4.8,MAX(MIN(IF(P22&gt;'测算稿 '!P$6,('测算稿 '!P$6-P22)*0.2+4.8,('测算稿 '!P$6-P22)*0.2+4.8),6),0))</f>
        <v>6</v>
      </c>
      <c r="R22" s="41">
        <f>VLOOKUP(B22,基础数!$1:$1048576,9,FALSE)</f>
        <v>186.104166666667</v>
      </c>
      <c r="S22" s="42">
        <f>IF(R22="-",3.2,MAX(MIN(IF(R22&gt;'测算稿 '!R$6,('测算稿 '!R$6-R22)*0.05+3.2,('测算稿 '!R$6-R22)*0.05+3.2),4),0))</f>
        <v>0.136266025641</v>
      </c>
      <c r="T22" s="50">
        <f>VLOOKUP(B22,基础数!$1:$1048576,10,FALSE)</f>
        <v>0.927272727272727</v>
      </c>
      <c r="U22" s="42">
        <f>IF(T22="-",8,IF(T22&lt;1,MAX(MIN(IF(T22&gt;'测算稿 '!T$6,(T22-'测算稿 '!T$6)*100*0.5+8,(T22-'测算稿 '!T$6)*100*0.2+8),10),0),10))</f>
        <v>8.0299888612801</v>
      </c>
      <c r="V22" s="50">
        <f>VLOOKUP(B22,基础数!$1:$1048576,11,FALSE)</f>
        <v>0.790322580645161</v>
      </c>
      <c r="W22" s="42">
        <f>IF(V22="-",8,IF(V22&lt;1,MAX(MIN(IF(V22&gt;'测算稿 '!V$6,(V22-'测算稿 '!V$6)*100*0.5+8,(V22-'测算稿 '!V$6)*100*0.2+8),10),0),10))</f>
        <v>6.2084224607784</v>
      </c>
      <c r="X22" s="50">
        <f>VLOOKUP(B22,基础数!$1:$1048576,12,FALSE)</f>
        <v>0.993377483443709</v>
      </c>
      <c r="Y22" s="42">
        <f>IF(X22='测算稿 '!X$6,8,IF(X22&lt;1,MAX(MIN(IF(X22&gt;'测算稿 '!X$6,(X22-'测算稿 '!X$6)*100*0.4+8,(X22-'测算稿 '!X$6)*100*0.2+8),10),0),10))</f>
        <v>9.66609989121984</v>
      </c>
      <c r="Z22" s="55">
        <v>0</v>
      </c>
      <c r="AA22" s="42">
        <f>MIN(MAX(IF(Z22=0,10,IF(Z22&lt;'测算稿 '!Z$6,8+('测算稿 '!Z$6-Z22)*2,8+('测算稿 '!Z$6-Z22)*0.4)),0),10)</f>
        <v>10</v>
      </c>
      <c r="AB22" s="50">
        <f>VLOOKUP(B22,基础数!$1:$1048576,13,FALSE)</f>
        <v>0</v>
      </c>
      <c r="AC22" s="50">
        <f>VLOOKUP(B22,基础数!$1:$1048576,14,FALSE)</f>
        <v>0.0903614457831325</v>
      </c>
      <c r="AD22" s="50">
        <f>VLOOKUP(B22,基础数!$1:$1048576,15,FALSE)</f>
        <v>0.0198675496688742</v>
      </c>
      <c r="AE22" s="42">
        <f>MIN(2,IF(AB22&lt;'测算稿 '!AB$6*1.1,0,(AB22/'测算稿 '!AB$6-1.1)*10*0.4))+MIN(2,IF(AC22&lt;'测算稿 '!AC$6*1.1,0,(AC22/'测算稿 '!AC$6-1.1)*10*0.4))+MIN(2,IF(AD22&lt;'测算稿 '!AD$6*1.1,0,(AD22/'测算稿 '!AD$6-1.1)*10*0.4))</f>
        <v>2</v>
      </c>
    </row>
    <row r="23" s="28" customFormat="1" ht="15" customHeight="1" spans="1:31">
      <c r="A23" s="39">
        <f t="shared" si="0"/>
        <v>17</v>
      </c>
      <c r="B23" s="43" t="s">
        <v>22</v>
      </c>
      <c r="C23" s="36">
        <f t="shared" si="1"/>
        <v>77.5384720353801</v>
      </c>
      <c r="D23" s="41">
        <f>VLOOKUP(B23,基础数!$1:$1048576,2,FALSE)</f>
        <v>7.29723225030084</v>
      </c>
      <c r="E23" s="42">
        <f>IF(D23="-",9.6,MAX(MIN(IF(D23&gt;'测算稿 '!D$6,('测算稿 '!D$6-D23)*0.6+9.6,('测算稿 '!D$6-D23)*0.6+9.6),12),0))</f>
        <v>8.71878629367527</v>
      </c>
      <c r="F23" s="41">
        <f>VLOOKUP(B23,基础数!$1:$1048576,3,FALSE)</f>
        <v>98.9226190476191</v>
      </c>
      <c r="G23" s="42">
        <f>IF(F23="-",6.4,MAX(MIN(IF(F23&gt;'测算稿 '!F$6,('测算稿 '!F$6-F23)*0.1+6.4,('测算稿 '!F$6-F23)*0.1+6.4),8),0))</f>
        <v>6.34903464741601</v>
      </c>
      <c r="H23" s="41">
        <f>VLOOKUP(B23,基础数!$1:$1048576,4,FALSE)</f>
        <v>24.9933920704846</v>
      </c>
      <c r="I23" s="42">
        <f>IF(H23="-",9.6,MAX(MIN(IF(H23&gt;'测算稿 '!H$6,('测算稿 '!H$6-H23)*0.3+9.6,('测算稿 '!H$6-H23)*0.6+9.6),12),0))</f>
        <v>6.50629115852004</v>
      </c>
      <c r="J23" s="41">
        <f>VLOOKUP(B23,基础数!$1:$1048576,5,FALSE)</f>
        <v>139.159552845528</v>
      </c>
      <c r="K23" s="42">
        <f>IF(J23="-",6.4,MAX(MIN(IF(J23&gt;'测算稿 '!J$6,('测算稿 '!J$6-J23)*0.1+6.4,('测算稿 '!J$6-J23)*0.2+6.4),8),0))</f>
        <v>0.85889907958622</v>
      </c>
      <c r="L23" s="41">
        <f>VLOOKUP(B23,基础数!$1:$1048576,6,FALSE)</f>
        <v>4.91629464285714</v>
      </c>
      <c r="M23" s="42">
        <f>IF(L23="-",4.8,MAX(MIN(IF(L23&gt;'测算稿 '!L$6,('测算稿 '!L$6-L23)*0.2+4.8,('测算稿 '!L$6-L23)*0.2+4.8),6),0))</f>
        <v>5.90265006241561</v>
      </c>
      <c r="N23" s="41">
        <f>VLOOKUP(B23,基础数!$1:$1048576,7,FALSE)</f>
        <v>107.237847222222</v>
      </c>
      <c r="O23" s="42">
        <f>IF(N23="-",3.2,MAX(MIN(IF(N23&gt;'测算稿 '!N$6,('测算稿 '!N$6-N23)*0.05+3.2,('测算稿 '!N$6-N23)*0.05+3.2),4),0))</f>
        <v>3.4511982266865</v>
      </c>
      <c r="P23" s="41">
        <f>VLOOKUP(B23,基础数!$1:$1048576,8,FALSE)</f>
        <v>12.4963768115942</v>
      </c>
      <c r="Q23" s="42">
        <f>IF(P23="-",4.8,MAX(MIN(IF(P23&gt;'测算稿 '!P$6,('测算稿 '!P$6-P23)*0.2+4.8,('测算稿 '!P$6-P23)*0.2+4.8),6),0))</f>
        <v>6</v>
      </c>
      <c r="R23" s="41">
        <f>VLOOKUP(B23,基础数!$1:$1048576,9,FALSE)</f>
        <v>80.0476190476191</v>
      </c>
      <c r="S23" s="42">
        <f>IF(R23="-",3.2,MAX(MIN(IF(R23&gt;'测算稿 '!R$6,('测算稿 '!R$6-R23)*0.05+3.2,('测算稿 '!R$6-R23)*0.05+3.2),4),0))</f>
        <v>4</v>
      </c>
      <c r="T23" s="50">
        <f>VLOOKUP(B23,基础数!$1:$1048576,10,FALSE)</f>
        <v>0.962790697674419</v>
      </c>
      <c r="U23" s="42">
        <f>IF(T23="-",8,IF(T23&lt;1,MAX(MIN(IF(T23&gt;'测算稿 '!T$6,(T23-'测算稿 '!T$6)*100*0.5+8,(T23-'测算稿 '!T$6)*100*0.2+8),10),0),10))</f>
        <v>9.8058873813647</v>
      </c>
      <c r="V23" s="50">
        <f>VLOOKUP(B23,基础数!$1:$1048576,11,FALSE)</f>
        <v>0.901587301587302</v>
      </c>
      <c r="W23" s="42">
        <f>IF(V23="-",8,IF(V23&lt;1,MAX(MIN(IF(V23&gt;'测算稿 '!V$6,(V23-'测算稿 '!V$6)*100*0.5+8,(V23-'测算稿 '!V$6)*100*0.2+8),10),0),10))</f>
        <v>9.08429219905305</v>
      </c>
      <c r="X23" s="50">
        <f>VLOOKUP(B23,基础数!$1:$1048576,12,FALSE)</f>
        <v>1.02697841726619</v>
      </c>
      <c r="Y23" s="42">
        <f>IF(X23='测算稿 '!X$6,8,IF(X23&lt;1,MAX(MIN(IF(X23&gt;'测算稿 '!X$6,(X23-'测算稿 '!X$6)*100*0.4+8,(X23-'测算稿 '!X$6)*100*0.2+8),10),0),10))</f>
        <v>10</v>
      </c>
      <c r="Z23" s="55">
        <v>0</v>
      </c>
      <c r="AA23" s="42">
        <f>MIN(MAX(IF(Z23=0,10,IF(Z23&lt;'测算稿 '!Z$6,8+('测算稿 '!Z$6-Z23)*2,8+('测算稿 '!Z$6-Z23)*0.4)),0),10)</f>
        <v>10</v>
      </c>
      <c r="AB23" s="50">
        <f>VLOOKUP(B23,基础数!$1:$1048576,13,FALSE)</f>
        <v>0</v>
      </c>
      <c r="AC23" s="50">
        <f>VLOOKUP(B23,基础数!$1:$1048576,14,FALSE)</f>
        <v>0.427689140504375</v>
      </c>
      <c r="AD23" s="50">
        <f>VLOOKUP(B23,基础数!$1:$1048576,15,FALSE)</f>
        <v>0.0269784172661871</v>
      </c>
      <c r="AE23" s="42">
        <f>MIN(2,IF(AB23&lt;'测算稿 '!AB$6*1.1,0,(AB23/'测算稿 '!AB$6-1.1)*10*0.4))+MIN(2,IF(AC23&lt;'测算稿 '!AC$6*1.1,0,(AC23/'测算稿 '!AC$6-1.1)*10*0.4))+MIN(2,IF(AD23&lt;'测算稿 '!AD$6*1.1,0,(AD23/'测算稿 '!AD$6-1.1)*10*0.4))</f>
        <v>3.13856701333729</v>
      </c>
    </row>
    <row r="24" s="28" customFormat="1" ht="15" customHeight="1" spans="1:31">
      <c r="A24" s="39">
        <f t="shared" si="0"/>
        <v>18</v>
      </c>
      <c r="B24" s="43" t="s">
        <v>130</v>
      </c>
      <c r="C24" s="36">
        <f t="shared" si="1"/>
        <v>76.0569608279785</v>
      </c>
      <c r="D24" s="41">
        <f>VLOOKUP(B24,基础数!$1:$1048576,2,FALSE)</f>
        <v>2.58394097222222</v>
      </c>
      <c r="E24" s="42">
        <f>IF(D24="-",9.6,MAX(MIN(IF(D24&gt;'测算稿 '!D$6,('测算稿 '!D$6-D24)*0.6+9.6,('测算稿 '!D$6-D24)*0.6+9.6),12),0))</f>
        <v>11.5467610605224</v>
      </c>
      <c r="F24" s="41">
        <f>VLOOKUP(B24,基础数!$1:$1048576,3,FALSE)</f>
        <v>128.776348039216</v>
      </c>
      <c r="G24" s="42">
        <f>IF(F24="-",6.4,MAX(MIN(IF(F24&gt;'测算稿 '!F$6,('测算稿 '!F$6-F24)*0.1+6.4,('测算稿 '!F$6-F24)*0.1+6.4),8),0))</f>
        <v>3.36366174825632</v>
      </c>
      <c r="H24" s="41">
        <f>VLOOKUP(B24,基础数!$1:$1048576,4,FALSE)</f>
        <v>21.2312703583062</v>
      </c>
      <c r="I24" s="42">
        <f>IF(H24="-",9.6,MAX(MIN(IF(H24&gt;'测算稿 '!H$6,('测算稿 '!H$6-H24)*0.3+9.6,('测算稿 '!H$6-H24)*0.6+9.6),12),0))</f>
        <v>7.63492767217356</v>
      </c>
      <c r="J24" s="41">
        <f>VLOOKUP(B24,基础数!$1:$1048576,5,FALSE)</f>
        <v>146.51575203252</v>
      </c>
      <c r="K24" s="42">
        <f>IF(J24="-",6.4,MAX(MIN(IF(J24&gt;'测算稿 '!J$6,('测算稿 '!J$6-J24)*0.1+6.4,('测算稿 '!J$6-J24)*0.2+6.4),8),0))</f>
        <v>0.12327916088702</v>
      </c>
      <c r="L24" s="41">
        <f>VLOOKUP(B24,基础数!$1:$1048576,6,FALSE)</f>
        <v>3.92548076923077</v>
      </c>
      <c r="M24" s="42">
        <f>IF(L24="-",4.8,MAX(MIN(IF(L24&gt;'测算稿 '!L$6,('测算稿 '!L$6-L24)*0.2+4.8,('测算稿 '!L$6-L24)*0.2+4.8),6),0))</f>
        <v>6</v>
      </c>
      <c r="N24" s="41">
        <f>VLOOKUP(B24,基础数!$1:$1048576,7,FALSE)</f>
        <v>143.18125</v>
      </c>
      <c r="O24" s="42">
        <f>IF(N24="-",3.2,MAX(MIN(IF(N24&gt;'测算稿 '!N$6,('测算稿 '!N$6-N24)*0.05+3.2,('测算稿 '!N$6-N24)*0.05+3.2),4),0))</f>
        <v>1.6540280877976</v>
      </c>
      <c r="P24" s="41">
        <f>VLOOKUP(B24,基础数!$1:$1048576,8,FALSE)</f>
        <v>8.32333333333333</v>
      </c>
      <c r="Q24" s="42">
        <f>IF(P24="-",4.8,MAX(MIN(IF(P24&gt;'测算稿 '!P$6,('测算稿 '!P$6-P24)*0.2+4.8,('测算稿 '!P$6-P24)*0.2+4.8),6),0))</f>
        <v>6</v>
      </c>
      <c r="R24" s="41">
        <f>VLOOKUP(B24,基础数!$1:$1048576,9,FALSE)</f>
        <v>119.654166666667</v>
      </c>
      <c r="S24" s="42">
        <f>IF(R24="-",3.2,MAX(MIN(IF(R24&gt;'测算稿 '!R$6,('测算稿 '!R$6-R24)*0.05+3.2,('测算稿 '!R$6-R24)*0.05+3.2),4),0))</f>
        <v>3.458766025641</v>
      </c>
      <c r="T24" s="50">
        <f>VLOOKUP(B24,基础数!$1:$1048576,10,FALSE)</f>
        <v>0.945362134688691</v>
      </c>
      <c r="U24" s="42">
        <f>IF(T24="-",8,IF(T24&lt;1,MAX(MIN(IF(T24&gt;'测算稿 '!T$6,(T24-'测算稿 '!T$6)*100*0.5+8,(T24-'测算稿 '!T$6)*100*0.2+8),10),0),10))</f>
        <v>8.9344592320783</v>
      </c>
      <c r="V24" s="50">
        <f>VLOOKUP(B24,基础数!$1:$1048576,11,FALSE)</f>
        <v>0.91220556745182</v>
      </c>
      <c r="W24" s="42">
        <f>IF(V24="-",8,IF(V24&lt;1,MAX(MIN(IF(V24&gt;'测算稿 '!V$6,(V24-'测算稿 '!V$6)*100*0.5+8,(V24-'测算稿 '!V$6)*100*0.2+8),10),0),10))</f>
        <v>9.61520549227895</v>
      </c>
      <c r="X24" s="50">
        <f>VLOOKUP(B24,基础数!$1:$1048576,12,FALSE)</f>
        <v>0.994871794871795</v>
      </c>
      <c r="Y24" s="42">
        <f>IF(X24='测算稿 '!X$6,8,IF(X24&lt;1,MAX(MIN(IF(X24&gt;'测算稿 '!X$6,(X24-'测算稿 '!X$6)*100*0.4+8,(X24-'测算稿 '!X$6)*100*0.2+8),10),0),10))</f>
        <v>9.72587234834328</v>
      </c>
      <c r="Z24" s="55">
        <v>0</v>
      </c>
      <c r="AA24" s="42">
        <f>MIN(MAX(IF(Z24=0,10,IF(Z24&lt;'测算稿 '!Z$6,8+('测算稿 '!Z$6-Z24)*2,8+('测算稿 '!Z$6-Z24)*0.4)),0),10)</f>
        <v>10</v>
      </c>
      <c r="AB24" s="50">
        <f>VLOOKUP(B24,基础数!$1:$1048576,13,FALSE)</f>
        <v>0.00273822562979187</v>
      </c>
      <c r="AC24" s="50">
        <f>VLOOKUP(B24,基础数!$1:$1048576,14,FALSE)</f>
        <v>0.326424870466321</v>
      </c>
      <c r="AD24" s="50">
        <f>VLOOKUP(B24,基础数!$1:$1048576,15,FALSE)</f>
        <v>0.0102564102564103</v>
      </c>
      <c r="AE24" s="42">
        <f>MIN(2,IF(AB24&lt;'测算稿 '!AB$6*1.1,0,(AB24/'测算稿 '!AB$6-1.1)*10*0.4))+MIN(2,IF(AC24&lt;'测算稿 '!AC$6*1.1,0,(AC24/'测算稿 '!AC$6-1.1)*10*0.4))+MIN(2,IF(AD24&lt;'测算稿 '!AD$6*1.1,0,(AD24/'测算稿 '!AD$6-1.1)*10*0.4))</f>
        <v>2</v>
      </c>
    </row>
    <row r="25" s="28" customFormat="1" ht="15" customHeight="1" spans="1:31">
      <c r="A25" s="39">
        <f t="shared" si="0"/>
        <v>19</v>
      </c>
      <c r="B25" s="43" t="s">
        <v>131</v>
      </c>
      <c r="C25" s="36">
        <f t="shared" si="1"/>
        <v>75.1925572357761</v>
      </c>
      <c r="D25" s="41">
        <f>VLOOKUP(B25,基础数!$1:$1048576,2,FALSE)</f>
        <v>3.38240740740741</v>
      </c>
      <c r="E25" s="42">
        <f>IF(D25="-",9.6,MAX(MIN(IF(D25&gt;'测算稿 '!D$6,('测算稿 '!D$6-D25)*0.6+9.6,('测算稿 '!D$6-D25)*0.6+9.6),12),0))</f>
        <v>11.0676811994113</v>
      </c>
      <c r="F25" s="41">
        <f>VLOOKUP(B25,基础数!$1:$1048576,3,FALSE)</f>
        <v>112.499556737589</v>
      </c>
      <c r="G25" s="42">
        <f>IF(F25="-",6.4,MAX(MIN(IF(F25&gt;'测算稿 '!F$6,('测算稿 '!F$6-F25)*0.1+6.4,('测算稿 '!F$6-F25)*0.1+6.4),8),0))</f>
        <v>4.99134087841902</v>
      </c>
      <c r="H25" s="41">
        <f>VLOOKUP(B25,基础数!$1:$1048576,4,FALSE)</f>
        <v>16.9574795081967</v>
      </c>
      <c r="I25" s="42">
        <f>IF(H25="-",9.6,MAX(MIN(IF(H25&gt;'测算稿 '!H$6,('测算稿 '!H$6-H25)*0.3+9.6,('测算稿 '!H$6-H25)*0.6+9.6),12),0))</f>
        <v>8.91706492720641</v>
      </c>
      <c r="J25" s="41">
        <f>VLOOKUP(B25,基础数!$1:$1048576,5,FALSE)</f>
        <v>115.609722222222</v>
      </c>
      <c r="K25" s="42">
        <f>IF(J25="-",6.4,MAX(MIN(IF(J25&gt;'测算稿 '!J$6,('测算稿 '!J$6-J25)*0.1+6.4,('测算稿 '!J$6-J25)*0.2+6.4),8),0))</f>
        <v>3.21388214191682</v>
      </c>
      <c r="L25" s="41">
        <f>VLOOKUP(B25,基础数!$1:$1048576,6,FALSE)</f>
        <v>26.0375412541254</v>
      </c>
      <c r="M25" s="42">
        <f>IF(L25="-",4.8,MAX(MIN(IF(L25&gt;'测算稿 '!L$6,('测算稿 '!L$6-L25)*0.2+4.8,('测算稿 '!L$6-L25)*0.2+4.8),6),0))</f>
        <v>1.67840074016196</v>
      </c>
      <c r="N25" s="41">
        <f>VLOOKUP(B25,基础数!$1:$1048576,7,FALSE)</f>
        <v>173.715277777778</v>
      </c>
      <c r="O25" s="42">
        <f>IF(N25="-",3.2,MAX(MIN(IF(N25&gt;'测算稿 '!N$6,('测算稿 '!N$6-N25)*0.05+3.2,('测算稿 '!N$6-N25)*0.05+3.2),4),0))</f>
        <v>0.1273266989087</v>
      </c>
      <c r="P25" s="41">
        <f>VLOOKUP(B25,基础数!$1:$1048576,8,FALSE)</f>
        <v>38.3950320512821</v>
      </c>
      <c r="Q25" s="42">
        <f>IF(P25="-",4.8,MAX(MIN(IF(P25&gt;'测算稿 '!P$6,('测算稿 '!P$6-P25)*0.2+4.8,('测算稿 '!P$6-P25)*0.2+4.8),6),0))</f>
        <v>1.65337355160872</v>
      </c>
      <c r="R25" s="41">
        <f>VLOOKUP(B25,基础数!$1:$1048576,9,FALSE)</f>
        <v>95.7319444444444</v>
      </c>
      <c r="S25" s="42">
        <f>IF(R25="-",3.2,MAX(MIN(IF(R25&gt;'测算稿 '!R$6,('测算稿 '!R$6-R25)*0.05+3.2,('测算稿 '!R$6-R25)*0.05+3.2),4),0))</f>
        <v>4</v>
      </c>
      <c r="T25" s="50">
        <f>VLOOKUP(B25,基础数!$1:$1048576,10,FALSE)</f>
        <v>1.02480916030534</v>
      </c>
      <c r="U25" s="42">
        <f>IF(T25="-",8,IF(T25&lt;1,MAX(MIN(IF(T25&gt;'测算稿 '!T$6,(T25-'测算稿 '!T$6)*100*0.5+8,(T25-'测算稿 '!T$6)*100*0.2+8),10),0),10))</f>
        <v>10</v>
      </c>
      <c r="V25" s="50">
        <f>VLOOKUP(B25,基础数!$1:$1048576,11,FALSE)</f>
        <v>1.03703703703704</v>
      </c>
      <c r="W25" s="42">
        <f>IF(V25="-",8,IF(V25&lt;1,MAX(MIN(IF(V25&gt;'测算稿 '!V$6,(V25-'测算稿 '!V$6)*100*0.5+8,(V25-'测算稿 '!V$6)*100*0.2+8),10),0),10))</f>
        <v>10</v>
      </c>
      <c r="X25" s="50">
        <f>VLOOKUP(B25,基础数!$1:$1048576,12,FALSE)</f>
        <v>0.990312163616792</v>
      </c>
      <c r="Y25" s="42">
        <f>IF(X25='测算稿 '!X$6,8,IF(X25&lt;1,MAX(MIN(IF(X25&gt;'测算稿 '!X$6,(X25-'测算稿 '!X$6)*100*0.4+8,(X25-'测算稿 '!X$6)*100*0.2+8),10),0),10))</f>
        <v>9.54348709814316</v>
      </c>
      <c r="Z25" s="55">
        <v>0</v>
      </c>
      <c r="AA25" s="42">
        <f>MIN(MAX(IF(Z25=0,10,IF(Z25&lt;'测算稿 '!Z$6,8+('测算稿 '!Z$6-Z25)*2,8+('测算稿 '!Z$6-Z25)*0.4)),0),10)</f>
        <v>10</v>
      </c>
      <c r="AB25" s="50">
        <f>VLOOKUP(B25,基础数!$1:$1048576,13,FALSE)</f>
        <v>0</v>
      </c>
      <c r="AC25" s="50">
        <f>VLOOKUP(B25,基础数!$1:$1048576,14,FALSE)</f>
        <v>0.158514492753623</v>
      </c>
      <c r="AD25" s="50">
        <f>VLOOKUP(B25,基础数!$1:$1048576,15,FALSE)</f>
        <v>0.00215285252960172</v>
      </c>
      <c r="AE25" s="42">
        <f>MIN(2,IF(AB25&lt;'测算稿 '!AB$6*1.1,0,(AB25/'测算稿 '!AB$6-1.1)*10*0.4))+MIN(2,IF(AC25&lt;'测算稿 '!AC$6*1.1,0,(AC25/'测算稿 '!AC$6-1.1)*10*0.4))+MIN(2,IF(AD25&lt;'测算稿 '!AD$6*1.1,0,(AD25/'测算稿 '!AD$6-1.1)*10*0.4))</f>
        <v>0</v>
      </c>
    </row>
    <row r="26" s="28" customFormat="1" ht="15" customHeight="1" spans="1:31">
      <c r="A26" s="39">
        <f t="shared" si="0"/>
        <v>20</v>
      </c>
      <c r="B26" s="43" t="s">
        <v>32</v>
      </c>
      <c r="C26" s="36">
        <f t="shared" si="1"/>
        <v>72.8853853822776</v>
      </c>
      <c r="D26" s="41">
        <f>VLOOKUP(B26,基础数!$1:$1048576,2,FALSE)</f>
        <v>4.22879464285714</v>
      </c>
      <c r="E26" s="42">
        <f>IF(D26="-",9.6,MAX(MIN(IF(D26&gt;'测算稿 '!D$6,('测算稿 '!D$6-D26)*0.6+9.6,('测算稿 '!D$6-D26)*0.6+9.6),12),0))</f>
        <v>10.5598488581415</v>
      </c>
      <c r="F26" s="41">
        <f>VLOOKUP(B26,基础数!$1:$1048576,3,FALSE)</f>
        <v>87.2407407407408</v>
      </c>
      <c r="G26" s="42">
        <f>IF(F26="-",6.4,MAX(MIN(IF(F26&gt;'测算稿 '!F$6,('测算稿 '!F$6-F26)*0.1+6.4,('测算稿 '!F$6-F26)*0.1+6.4),8),0))</f>
        <v>7.51722247810384</v>
      </c>
      <c r="H26" s="41">
        <f>VLOOKUP(B26,基础数!$1:$1048576,4,FALSE)</f>
        <v>30.1041666666667</v>
      </c>
      <c r="I26" s="42">
        <f>IF(H26="-",9.6,MAX(MIN(IF(H26&gt;'测算稿 '!H$6,('测算稿 '!H$6-H26)*0.3+9.6,('测算稿 '!H$6-H26)*0.6+9.6),12),0))</f>
        <v>4.97305877966541</v>
      </c>
      <c r="J26" s="41">
        <f>VLOOKUP(B26,基础数!$1:$1048576,5,FALSE)</f>
        <v>270.652777777778</v>
      </c>
      <c r="K26" s="42">
        <f>IF(J26="-",6.4,MAX(MIN(IF(J26&gt;'测算稿 '!J$6,('测算稿 '!J$6-J26)*0.1+6.4,('测算稿 '!J$6-J26)*0.2+6.4),8),0))</f>
        <v>0</v>
      </c>
      <c r="L26" s="41">
        <f>VLOOKUP(B26,基础数!$1:$1048576,6,FALSE)</f>
        <v>11.3932926829268</v>
      </c>
      <c r="M26" s="42">
        <f>IF(L26="-",4.8,MAX(MIN(IF(L26&gt;'测算稿 '!L$6,('测算稿 '!L$6-L26)*0.2+4.8,('测算稿 '!L$6-L26)*0.2+4.8),6),0))</f>
        <v>4.60725045440168</v>
      </c>
      <c r="N26" s="41">
        <f>VLOOKUP(B26,基础数!$1:$1048576,7,FALSE)</f>
        <v>127.506720430108</v>
      </c>
      <c r="O26" s="42">
        <f>IF(N26="-",3.2,MAX(MIN(IF(N26&gt;'测算稿 '!N$6,('测算稿 '!N$6-N26)*0.05+3.2,('测算稿 '!N$6-N26)*0.05+3.2),4),0))</f>
        <v>2.4377545662922</v>
      </c>
      <c r="P26" s="41">
        <f>VLOOKUP(B26,基础数!$1:$1048576,8,FALSE)</f>
        <v>19.2741228070175</v>
      </c>
      <c r="Q26" s="42">
        <f>IF(P26="-",4.8,MAX(MIN(IF(P26&gt;'测算稿 '!P$6,('测算稿 '!P$6-P26)*0.2+4.8,('测算稿 '!P$6-P26)*0.2+4.8),6),0))</f>
        <v>5.47755540046164</v>
      </c>
      <c r="R26" s="41">
        <f>VLOOKUP(B26,基础数!$1:$1048576,9,FALSE)</f>
        <v>261.777777777778</v>
      </c>
      <c r="S26" s="42">
        <f>IF(R26="-",3.2,MAX(MIN(IF(R26&gt;'测算稿 '!R$6,('测算稿 '!R$6-R26)*0.05+3.2,('测算稿 '!R$6-R26)*0.05+3.2),4),0))</f>
        <v>0</v>
      </c>
      <c r="T26" s="50">
        <f>VLOOKUP(B26,基础数!$1:$1048576,10,FALSE)</f>
        <v>0.892307692307692</v>
      </c>
      <c r="U26" s="42">
        <f>IF(T26="-",8,IF(T26&lt;1,MAX(MIN(IF(T26&gt;'测算稿 '!T$6,(T26-'测算稿 '!T$6)*100*0.5+8,(T26-'测算稿 '!T$6)*100*0.2+8),10),0),10))</f>
        <v>7.31269484521134</v>
      </c>
      <c r="V26" s="50">
        <f>VLOOKUP(B26,基础数!$1:$1048576,11,FALSE)</f>
        <v>1.09677419354839</v>
      </c>
      <c r="W26" s="42">
        <f>IF(V26="-",8,IF(V26&lt;1,MAX(MIN(IF(V26&gt;'测算稿 '!V$6,(V26-'测算稿 '!V$6)*100*0.5+8,(V26-'测算稿 '!V$6)*100*0.2+8),10),0),10))</f>
        <v>10</v>
      </c>
      <c r="X26" s="50">
        <f>VLOOKUP(B26,基础数!$1:$1048576,12,FALSE)</f>
        <v>1.01234567901235</v>
      </c>
      <c r="Y26" s="42">
        <f>IF(X26='测算稿 '!X$6,8,IF(X26&lt;1,MAX(MIN(IF(X26&gt;'测算稿 '!X$6,(X26-'测算稿 '!X$6)*100*0.4+8,(X26-'测算稿 '!X$6)*100*0.2+8),10),0),10))</f>
        <v>10</v>
      </c>
      <c r="Z26" s="55">
        <v>0</v>
      </c>
      <c r="AA26" s="42">
        <f>MIN(MAX(IF(Z26=0,10,IF(Z26&lt;'测算稿 '!Z$6,8+('测算稿 '!Z$6-Z26)*2,8+('测算稿 '!Z$6-Z26)*0.4)),0),10)</f>
        <v>10</v>
      </c>
      <c r="AB26" s="50">
        <f>VLOOKUP(B26,基础数!$1:$1048576,13,FALSE)</f>
        <v>0.00208333333333333</v>
      </c>
      <c r="AC26" s="50">
        <f>VLOOKUP(B26,基础数!$1:$1048576,14,FALSE)</f>
        <v>0.275167785234899</v>
      </c>
      <c r="AD26" s="50">
        <f>VLOOKUP(B26,基础数!$1:$1048576,15,FALSE)</f>
        <v>0.00308641975308642</v>
      </c>
      <c r="AE26" s="42">
        <f>MIN(2,IF(AB26&lt;'测算稿 '!AB$6*1.1,0,(AB26/'测算稿 '!AB$6-1.1)*10*0.4))+MIN(2,IF(AC26&lt;'测算稿 '!AC$6*1.1,0,(AC26/'测算稿 '!AC$6-1.1)*10*0.4))+MIN(2,IF(AD26&lt;'测算稿 '!AD$6*1.1,0,(AD26/'测算稿 '!AD$6-1.1)*10*0.4))</f>
        <v>0</v>
      </c>
    </row>
    <row r="27" s="28" customFormat="1" ht="15" customHeight="1" spans="1:31">
      <c r="A27" s="39">
        <f t="shared" si="0"/>
        <v>21</v>
      </c>
      <c r="B27" s="43" t="s">
        <v>42</v>
      </c>
      <c r="C27" s="36">
        <f t="shared" si="1"/>
        <v>72.5390647636225</v>
      </c>
      <c r="D27" s="41">
        <f>VLOOKUP(B27,基础数!$1:$1048576,2,FALSE)</f>
        <v>4.29472222222222</v>
      </c>
      <c r="E27" s="42">
        <f>IF(D27="-",9.6,MAX(MIN(IF(D27&gt;'测算稿 '!D$6,('测算稿 '!D$6-D27)*0.6+9.6,('测算稿 '!D$6-D27)*0.6+9.6),12),0))</f>
        <v>10.5202923105224</v>
      </c>
      <c r="F27" s="41">
        <f>VLOOKUP(B27,基础数!$1:$1048576,3,FALSE)</f>
        <v>96.3237847222222</v>
      </c>
      <c r="G27" s="42">
        <f>IF(F27="-",6.4,MAX(MIN(IF(F27&gt;'测算稿 '!F$6,('测算稿 '!F$6-F27)*0.1+6.4,('测算稿 '!F$6-F27)*0.1+6.4),8),0))</f>
        <v>6.6089180799557</v>
      </c>
      <c r="H27" s="41">
        <f>VLOOKUP(B27,基础数!$1:$1048576,4,FALSE)</f>
        <v>6.85416666666667</v>
      </c>
      <c r="I27" s="42">
        <f>IF(H27="-",9.6,MAX(MIN(IF(H27&gt;'测算稿 '!H$6,('测算稿 '!H$6-H27)*0.3+9.6,('测算稿 '!H$6-H27)*0.6+9.6),12),0))</f>
        <v>12</v>
      </c>
      <c r="J27" s="41">
        <f>VLOOKUP(B27,基础数!$1:$1048576,5,FALSE)</f>
        <v>140.510416666667</v>
      </c>
      <c r="K27" s="42">
        <f>IF(J27="-",6.4,MAX(MIN(IF(J27&gt;'测算稿 '!J$6,('测算稿 '!J$6-J27)*0.1+6.4,('测算稿 '!J$6-J27)*0.2+6.4),8),0))</f>
        <v>0.72381269747232</v>
      </c>
      <c r="L27" s="41">
        <f>VLOOKUP(B27,基础数!$1:$1048576,6,FALSE)</f>
        <v>5.87771739130435</v>
      </c>
      <c r="M27" s="42">
        <f>IF(L27="-",4.8,MAX(MIN(IF(L27&gt;'测算稿 '!L$6,('测算稿 '!L$6-L27)*0.2+4.8,('测算稿 '!L$6-L27)*0.2+4.8),6),0))</f>
        <v>5.71036551272617</v>
      </c>
      <c r="N27" s="41">
        <f>VLOOKUP(B27,基础数!$1:$1048576,7,FALSE)</f>
        <v>50.5138888888889</v>
      </c>
      <c r="O27" s="42">
        <f>IF(N27="-",3.2,MAX(MIN(IF(N27&gt;'测算稿 '!N$6,('测算稿 '!N$6-N27)*0.05+3.2,('测算稿 '!N$6-N27)*0.05+3.2),4),0))</f>
        <v>4</v>
      </c>
      <c r="P27" s="41">
        <f>VLOOKUP(B27,基础数!$1:$1048576,8,FALSE)</f>
        <v>13.8819444444444</v>
      </c>
      <c r="Q27" s="42">
        <f>IF(P27="-",4.8,MAX(MIN(IF(P27&gt;'测算稿 '!P$6,('测算稿 '!P$6-P27)*0.2+4.8,('测算稿 '!P$6-P27)*0.2+4.8),6),0))</f>
        <v>6</v>
      </c>
      <c r="R27" s="41">
        <f>VLOOKUP(B27,基础数!$1:$1048576,9,FALSE)</f>
        <v>137.791666666667</v>
      </c>
      <c r="S27" s="42">
        <f>IF(R27="-",3.2,MAX(MIN(IF(R27&gt;'测算稿 '!R$6,('测算稿 '!R$6-R27)*0.05+3.2,('测算稿 '!R$6-R27)*0.05+3.2),4),0))</f>
        <v>2.551891025641</v>
      </c>
      <c r="T27" s="50">
        <f>VLOOKUP(B27,基础数!$1:$1048576,10,FALSE)</f>
        <v>0.824074074074074</v>
      </c>
      <c r="U27" s="42">
        <f>IF(T27="-",8,IF(T27&lt;1,MAX(MIN(IF(T27&gt;'测算稿 '!T$6,(T27-'测算稿 '!T$6)*100*0.5+8,(T27-'测算稿 '!T$6)*100*0.2+8),10),0),10))</f>
        <v>5.94802248053898</v>
      </c>
      <c r="V27" s="50">
        <f>VLOOKUP(B27,基础数!$1:$1048576,11,FALSE)</f>
        <v>0.702702702702703</v>
      </c>
      <c r="W27" s="42">
        <f>IF(V27="-",8,IF(V27&lt;1,MAX(MIN(IF(V27&gt;'测算稿 '!V$6,(V27-'测算稿 '!V$6)*100*0.5+8,(V27-'测算稿 '!V$6)*100*0.2+8),10),0),10))</f>
        <v>4.45602490192924</v>
      </c>
      <c r="X27" s="50">
        <f>VLOOKUP(B27,基础数!$1:$1048576,12,FALSE)</f>
        <v>0.95221843003413</v>
      </c>
      <c r="Y27" s="42">
        <f>IF(X27='测算稿 '!X$6,8,IF(X27&lt;1,MAX(MIN(IF(X27&gt;'测算稿 '!X$6,(X27-'测算稿 '!X$6)*100*0.4+8,(X27-'测算稿 '!X$6)*100*0.2+8),10),0),10))</f>
        <v>8.01973775483668</v>
      </c>
      <c r="Z27" s="55">
        <v>0</v>
      </c>
      <c r="AA27" s="42">
        <f>MIN(MAX(IF(Z27=0,10,IF(Z27&lt;'测算稿 '!Z$6,8+('测算稿 '!Z$6-Z27)*2,8+('测算稿 '!Z$6-Z27)*0.4)),0),10)</f>
        <v>10</v>
      </c>
      <c r="AB27" s="50">
        <f>VLOOKUP(B27,基础数!$1:$1048576,13,FALSE)</f>
        <v>0.133771929824561</v>
      </c>
      <c r="AC27" s="50">
        <f>VLOOKUP(B27,基础数!$1:$1048576,14,FALSE)</f>
        <v>0.103975535168196</v>
      </c>
      <c r="AD27" s="50">
        <f>VLOOKUP(B27,基础数!$1:$1048576,15,FALSE)</f>
        <v>0.0102389078498294</v>
      </c>
      <c r="AE27" s="42">
        <f>MIN(2,IF(AB27&lt;'测算稿 '!AB$6*1.1,0,(AB27/'测算稿 '!AB$6-1.1)*10*0.4))+MIN(2,IF(AC27&lt;'测算稿 '!AC$6*1.1,0,(AC27/'测算稿 '!AC$6-1.1)*10*0.4))+MIN(2,IF(AD27&lt;'测算稿 '!AD$6*1.1,0,(AD27/'测算稿 '!AD$6-1.1)*10*0.4))</f>
        <v>4</v>
      </c>
    </row>
    <row r="28" s="28" customFormat="1" ht="15" customHeight="1" spans="1:31">
      <c r="A28" s="39">
        <f t="shared" si="0"/>
        <v>22</v>
      </c>
      <c r="B28" s="43" t="s">
        <v>132</v>
      </c>
      <c r="C28" s="36">
        <f t="shared" si="1"/>
        <v>72.4520666921199</v>
      </c>
      <c r="D28" s="41">
        <f>VLOOKUP(B28,基础数!$1:$1048576,2,FALSE)</f>
        <v>2.50133547008547</v>
      </c>
      <c r="E28" s="42">
        <f>IF(D28="-",9.6,MAX(MIN(IF(D28&gt;'测算稿 '!D$6,('测算稿 '!D$6-D28)*0.6+9.6,('测算稿 '!D$6-D28)*0.6+9.6),12),0))</f>
        <v>11.5963243618045</v>
      </c>
      <c r="F28" s="41">
        <f>VLOOKUP(B28,基础数!$1:$1048576,3,FALSE)</f>
        <v>122.443548387097</v>
      </c>
      <c r="G28" s="42">
        <f>IF(F28="-",6.4,MAX(MIN(IF(F28&gt;'测算稿 '!F$6,('测算稿 '!F$6-F28)*0.1+6.4,('测算稿 '!F$6-F28)*0.1+6.4),8),0))</f>
        <v>3.99694171346822</v>
      </c>
      <c r="H28" s="41">
        <f>VLOOKUP(B28,基础数!$1:$1048576,4,FALSE)</f>
        <v>18.5770440251572</v>
      </c>
      <c r="I28" s="42">
        <f>IF(H28="-",9.6,MAX(MIN(IF(H28&gt;'测算稿 '!H$6,('测算稿 '!H$6-H28)*0.3+9.6,('测算稿 '!H$6-H28)*0.6+9.6),12),0))</f>
        <v>8.43119557211826</v>
      </c>
      <c r="J28" s="41">
        <f>VLOOKUP(B28,基础数!$1:$1048576,5,FALSE)</f>
        <v>116.919444444444</v>
      </c>
      <c r="K28" s="42">
        <f>IF(J28="-",6.4,MAX(MIN(IF(J28&gt;'测算稿 '!J$6,('测算稿 '!J$6-J28)*0.1+6.4,('测算稿 '!J$6-J28)*0.2+6.4),8),0))</f>
        <v>3.08290991969462</v>
      </c>
      <c r="L28" s="41">
        <f>VLOOKUP(B28,基础数!$1:$1048576,6,FALSE)</f>
        <v>8.96875</v>
      </c>
      <c r="M28" s="42">
        <f>IF(L28="-",4.8,MAX(MIN(IF(L28&gt;'测算稿 '!L$6,('测算稿 '!L$6-L28)*0.2+4.8,('测算稿 '!L$6-L28)*0.2+4.8),6),0))</f>
        <v>5.09215899098704</v>
      </c>
      <c r="N28" s="41">
        <f>VLOOKUP(B28,基础数!$1:$1048576,7,FALSE)</f>
        <v>30.625</v>
      </c>
      <c r="O28" s="42">
        <f>IF(N28="-",3.2,MAX(MIN(IF(N28&gt;'测算稿 '!N$6,('测算稿 '!N$6-N28)*0.05+3.2,('测算稿 '!N$6-N28)*0.05+3.2),4),0))</f>
        <v>4</v>
      </c>
      <c r="P28" s="41">
        <f>VLOOKUP(B28,基础数!$1:$1048576,8,FALSE)</f>
        <v>2.51041666666667</v>
      </c>
      <c r="Q28" s="42">
        <f>IF(P28="-",4.8,MAX(MIN(IF(P28&gt;'测算稿 '!P$6,('测算稿 '!P$6-P28)*0.2+4.8,('测算稿 '!P$6-P28)*0.2+4.8),6),0))</f>
        <v>6</v>
      </c>
      <c r="R28" s="41">
        <f>VLOOKUP(B28,基础数!$1:$1048576,9,FALSE)</f>
        <v>12.9583333333333</v>
      </c>
      <c r="S28" s="42">
        <f>IF(R28="-",3.2,MAX(MIN(IF(R28&gt;'测算稿 '!R$6,('测算稿 '!R$6-R28)*0.05+3.2,('测算稿 '!R$6-R28)*0.05+3.2),4),0))</f>
        <v>4</v>
      </c>
      <c r="T28" s="50">
        <f>VLOOKUP(B28,基础数!$1:$1048576,10,FALSE)</f>
        <v>0.806818181818182</v>
      </c>
      <c r="U28" s="42">
        <f>IF(T28="-",8,IF(T28&lt;1,MAX(MIN(IF(T28&gt;'测算稿 '!T$6,(T28-'测算稿 '!T$6)*100*0.5+8,(T28-'测算稿 '!T$6)*100*0.2+8),10),0),10))</f>
        <v>5.60290463542114</v>
      </c>
      <c r="V28" s="50">
        <f>VLOOKUP(B28,基础数!$1:$1048576,11,FALSE)</f>
        <v>0.654867256637168</v>
      </c>
      <c r="W28" s="42">
        <f>IF(V28="-",8,IF(V28&lt;1,MAX(MIN(IF(V28&gt;'测算稿 '!V$6,(V28-'测算稿 '!V$6)*100*0.5+8,(V28-'测算稿 '!V$6)*100*0.2+8),10),0),10))</f>
        <v>3.49931598061854</v>
      </c>
      <c r="X28" s="50">
        <f>VLOOKUP(B28,基础数!$1:$1048576,12,FALSE)</f>
        <v>0.982578397212544</v>
      </c>
      <c r="Y28" s="42">
        <f>IF(X28='测算稿 '!X$6,8,IF(X28&lt;1,MAX(MIN(IF(X28&gt;'测算稿 '!X$6,(X28-'测算稿 '!X$6)*100*0.4+8,(X28-'测算稿 '!X$6)*100*0.2+8),10),0),10))</f>
        <v>9.23413644197324</v>
      </c>
      <c r="Z28" s="55">
        <v>0</v>
      </c>
      <c r="AA28" s="42">
        <f>MIN(MAX(IF(Z28=0,10,IF(Z28&lt;'测算稿 '!Z$6,8+('测算稿 '!Z$6-Z28)*2,8+('测算稿 '!Z$6-Z28)*0.4)),0),10)</f>
        <v>10</v>
      </c>
      <c r="AB28" s="50">
        <f>VLOOKUP(B28,基础数!$1:$1048576,13,FALSE)</f>
        <v>0.00563909774436089</v>
      </c>
      <c r="AC28" s="50">
        <f>VLOOKUP(B28,基础数!$1:$1048576,14,FALSE)</f>
        <v>0.34624145785877</v>
      </c>
      <c r="AD28" s="50">
        <f>VLOOKUP(B28,基础数!$1:$1048576,15,FALSE)</f>
        <v>0.0139372822299652</v>
      </c>
      <c r="AE28" s="42">
        <f>MIN(2,IF(AB28&lt;'测算稿 '!AB$6*1.1,0,(AB28/'测算稿 '!AB$6-1.1)*10*0.4))+MIN(2,IF(AC28&lt;'测算稿 '!AC$6*1.1,0,(AC28/'测算稿 '!AC$6-1.1)*10*0.4))+MIN(2,IF(AD28&lt;'测算稿 '!AD$6*1.1,0,(AD28/'测算稿 '!AD$6-1.1)*10*0.4))</f>
        <v>2.08382092396564</v>
      </c>
    </row>
    <row r="29" s="28" customFormat="1" ht="15" customHeight="1" spans="1:31">
      <c r="A29" s="39">
        <f t="shared" si="0"/>
        <v>23</v>
      </c>
      <c r="B29" s="40" t="s">
        <v>133</v>
      </c>
      <c r="C29" s="36">
        <f t="shared" si="1"/>
        <v>71.283770607352</v>
      </c>
      <c r="D29" s="44">
        <v>5.82854273975963</v>
      </c>
      <c r="E29" s="42">
        <f>IF(D29="-",9.6,MAX(MIN(IF(D29&gt;'测算稿 '!D$6,('测算稿 '!D$6-D29)*0.6+9.6,('测算稿 '!D$6-D29)*0.6+9.6),12),0))</f>
        <v>9.6</v>
      </c>
      <c r="F29" s="44">
        <v>98.4129655217792</v>
      </c>
      <c r="G29" s="42">
        <f>IF(F29="-",6.4,MAX(MIN(IF(F29&gt;'测算稿 '!F$6,('测算稿 '!F$6-F29)*0.1+6.4,('测算稿 '!F$6-F29)*0.1+6.4),8),0))</f>
        <v>6.4</v>
      </c>
      <c r="H29" s="44">
        <v>14.6810292655514</v>
      </c>
      <c r="I29" s="42">
        <f>IF(H29="-",9.6,MAX(MIN(IF(H29&gt;'测算稿 '!H$6,('测算稿 '!H$6-H29)*0.3+9.6,('测算稿 '!H$6-H29)*0.6+9.6),12),0))</f>
        <v>9.6</v>
      </c>
      <c r="J29" s="44">
        <v>83.7485436413902</v>
      </c>
      <c r="K29" s="42">
        <f>IF(J29="-",6.4,MAX(MIN(IF(J29&gt;'测算稿 '!J$6,('测算稿 '!J$6-J29)*0.1+6.4,('测算稿 '!J$6-J29)*0.2+6.4),8),0))</f>
        <v>6.4</v>
      </c>
      <c r="L29" s="41">
        <f>VLOOKUP(B29,基础数!$1:$1048576,6,FALSE)</f>
        <v>35.897619047619</v>
      </c>
      <c r="M29" s="42">
        <f>IF(L29="-",4.8,MAX(MIN(IF(L29&gt;'测算稿 '!L$6,('测算稿 '!L$6-L29)*0.2+4.8,('测算稿 '!L$6-L29)*0.2+4.8),6),0))</f>
        <v>0</v>
      </c>
      <c r="N29" s="41">
        <f>VLOOKUP(B29,基础数!$1:$1048576,7,FALSE)</f>
        <v>124.196428571429</v>
      </c>
      <c r="O29" s="42">
        <f>IF(N29="-",3.2,MAX(MIN(IF(N29&gt;'测算稿 '!N$6,('测算稿 '!N$6-N29)*0.05+3.2,('测算稿 '!N$6-N29)*0.05+3.2),4),0))</f>
        <v>2.60326915922615</v>
      </c>
      <c r="P29" s="41">
        <f>VLOOKUP(B29,基础数!$1:$1048576,8,FALSE)</f>
        <v>54.6934523809524</v>
      </c>
      <c r="Q29" s="42">
        <f>IF(P29="-",4.8,MAX(MIN(IF(P29&gt;'测算稿 '!P$6,('测算稿 '!P$6-P29)*0.2+4.8,('测算稿 '!P$6-P29)*0.2+4.8),6),0))</f>
        <v>0</v>
      </c>
      <c r="R29" s="41">
        <f>VLOOKUP(B29,基础数!$1:$1048576,9,FALSE)</f>
        <v>145</v>
      </c>
      <c r="S29" s="42">
        <f>IF(R29="-",3.2,MAX(MIN(IF(R29&gt;'测算稿 '!R$6,('测算稿 '!R$6-R29)*0.05+3.2,('测算稿 '!R$6-R29)*0.05+3.2),4),0))</f>
        <v>2.19147435897435</v>
      </c>
      <c r="T29" s="50">
        <f>VLOOKUP(B29,基础数!$1:$1048576,10,FALSE)</f>
        <v>0.933333333333333</v>
      </c>
      <c r="U29" s="42">
        <f>IF(T29="-",8,IF(T29&lt;1,MAX(MIN(IF(T29&gt;'测算稿 '!T$6,(T29-'测算稿 '!T$6)*100*0.5+8,(T29-'测算稿 '!T$6)*100*0.2+8),10),0),10))</f>
        <v>8.3330191643104</v>
      </c>
      <c r="V29" s="50">
        <f>VLOOKUP(B29,基础数!$1:$1048576,11,FALSE)</f>
        <v>1</v>
      </c>
      <c r="W29" s="42">
        <f>IF(V29="-",8,IF(V29&lt;1,MAX(MIN(IF(V29&gt;'测算稿 '!V$6,(V29-'测算稿 '!V$6)*100*0.5+8,(V29-'测算稿 '!V$6)*100*0.2+8),10),0),10))</f>
        <v>10</v>
      </c>
      <c r="X29" s="50">
        <f>VLOOKUP(B29,基础数!$1:$1048576,12,FALSE)</f>
        <v>0.984375</v>
      </c>
      <c r="Y29" s="42">
        <f>IF(X29='测算稿 '!X$6,8,IF(X29&lt;1,MAX(MIN(IF(X29&gt;'测算稿 '!X$6,(X29-'测算稿 '!X$6)*100*0.4+8,(X29-'测算稿 '!X$6)*100*0.2+8),10),0),10))</f>
        <v>9.30600055347148</v>
      </c>
      <c r="Z29" s="55">
        <v>0</v>
      </c>
      <c r="AA29" s="42">
        <f>MIN(MAX(IF(Z29=0,10,IF(Z29&lt;'测算稿 '!Z$6,8+('测算稿 '!Z$6-Z29)*2,8+('测算稿 '!Z$6-Z29)*0.4)),0),10)</f>
        <v>10</v>
      </c>
      <c r="AB29" s="50">
        <f>VLOOKUP(B29,基础数!$1:$1048576,13,FALSE)</f>
        <v>0</v>
      </c>
      <c r="AC29" s="50">
        <f>VLOOKUP(B29,基础数!$1:$1048576,14,FALSE)</f>
        <v>0.428571428571429</v>
      </c>
      <c r="AD29" s="50">
        <f>VLOOKUP(B29,基础数!$1:$1048576,15,FALSE)</f>
        <v>0.03125</v>
      </c>
      <c r="AE29" s="42">
        <f>MIN(2,IF(AB29&lt;'测算稿 '!AB$6*1.1,0,(AB29/'测算稿 '!AB$6-1.1)*10*0.4))+MIN(2,IF(AC29&lt;'测算稿 '!AC$6*1.1,0,(AC29/'测算稿 '!AC$6-1.1)*10*0.4))+MIN(2,IF(AD29&lt;'测算稿 '!AD$6*1.1,0,(AD29/'测算稿 '!AD$6-1.1)*10*0.4))</f>
        <v>3.14999262863041</v>
      </c>
    </row>
    <row r="30" s="28" customFormat="1" ht="15" customHeight="1" spans="1:31">
      <c r="A30" s="39">
        <f t="shared" si="0"/>
        <v>24</v>
      </c>
      <c r="B30" s="43" t="s">
        <v>134</v>
      </c>
      <c r="C30" s="36">
        <f t="shared" si="1"/>
        <v>69.7372466662264</v>
      </c>
      <c r="D30" s="41">
        <f>VLOOKUP(B30,基础数!$1:$1048576,2,FALSE)</f>
        <v>8.44575055187638</v>
      </c>
      <c r="E30" s="42">
        <f>IF(D30="-",9.6,MAX(MIN(IF(D30&gt;'测算稿 '!D$6,('测算稿 '!D$6-D30)*0.6+9.6,('测算稿 '!D$6-D30)*0.6+9.6),12),0))</f>
        <v>8.02967531272995</v>
      </c>
      <c r="F30" s="41">
        <f>VLOOKUP(B30,基础数!$1:$1048576,3,FALSE)</f>
        <v>125.012609649123</v>
      </c>
      <c r="G30" s="42">
        <f>IF(F30="-",6.4,MAX(MIN(IF(F30&gt;'测算稿 '!F$6,('测算稿 '!F$6-F30)*0.1+6.4,('测算稿 '!F$6-F30)*0.1+6.4),8),0))</f>
        <v>3.74003558726562</v>
      </c>
      <c r="H30" s="41">
        <f>VLOOKUP(B30,基础数!$1:$1048576,4,FALSE)</f>
        <v>15.1556570625439</v>
      </c>
      <c r="I30" s="42">
        <f>IF(H30="-",9.6,MAX(MIN(IF(H30&gt;'测算稿 '!H$6,('测算稿 '!H$6-H30)*0.3+9.6,('测算稿 '!H$6-H30)*0.6+9.6),12),0))</f>
        <v>9.45761166090225</v>
      </c>
      <c r="J30" s="41">
        <f>VLOOKUP(B30,基础数!$1:$1048576,5,FALSE)</f>
        <v>90.8465632603406</v>
      </c>
      <c r="K30" s="42">
        <f>IF(J30="-",6.4,MAX(MIN(IF(J30&gt;'测算稿 '!J$6,('测算稿 '!J$6-J30)*0.1+6.4,('测算稿 '!J$6-J30)*0.2+6.4),8),0))</f>
        <v>5.69019803810496</v>
      </c>
      <c r="L30" s="41">
        <f>VLOOKUP(B30,基础数!$1:$1048576,6,FALSE)</f>
        <v>16.8202716823407</v>
      </c>
      <c r="M30" s="42">
        <f>IF(L30="-",4.8,MAX(MIN(IF(L30&gt;'测算稿 '!L$6,('测算稿 '!L$6-L30)*0.2+4.8,('测算稿 '!L$6-L30)*0.2+4.8),6),0))</f>
        <v>3.5218546545189</v>
      </c>
      <c r="N30" s="41">
        <f>VLOOKUP(B30,基础数!$1:$1048576,7,FALSE)</f>
        <v>112.414239482201</v>
      </c>
      <c r="O30" s="42">
        <f>IF(N30="-",3.2,MAX(MIN(IF(N30&gt;'测算稿 '!N$6,('测算稿 '!N$6-N30)*0.05+3.2,('测算稿 '!N$6-N30)*0.05+3.2),4),0))</f>
        <v>3.19237861368755</v>
      </c>
      <c r="P30" s="41">
        <f>VLOOKUP(B30,基础数!$1:$1048576,8,FALSE)</f>
        <v>32.5421831955923</v>
      </c>
      <c r="Q30" s="42">
        <f>IF(P30="-",4.8,MAX(MIN(IF(P30&gt;'测算稿 '!P$6,('测算稿 '!P$6-P30)*0.2+4.8,('测算稿 '!P$6-P30)*0.2+4.8),6),0))</f>
        <v>2.82394332274668</v>
      </c>
      <c r="R30" s="41">
        <f>VLOOKUP(B30,基础数!$1:$1048576,9,FALSE)</f>
        <v>123.594850948509</v>
      </c>
      <c r="S30" s="42">
        <f>IF(R30="-",3.2,MAX(MIN(IF(R30&gt;'测算稿 '!R$6,('测算稿 '!R$6-R30)*0.05+3.2,('测算稿 '!R$6-R30)*0.05+3.2),4),0))</f>
        <v>3.2617318115489</v>
      </c>
      <c r="T30" s="50">
        <f>VLOOKUP(B30,基础数!$1:$1048576,10,FALSE)</f>
        <v>0.857233502538071</v>
      </c>
      <c r="U30" s="42">
        <f>IF(T30="-",8,IF(T30&lt;1,MAX(MIN(IF(T30&gt;'测算稿 '!T$6,(T30-'测算稿 '!T$6)*100*0.5+8,(T30-'测算稿 '!T$6)*100*0.2+8),10),0),10))</f>
        <v>6.61121104981892</v>
      </c>
      <c r="V30" s="50">
        <f>VLOOKUP(B30,基础数!$1:$1048576,11,FALSE)</f>
        <v>0.790757855822551</v>
      </c>
      <c r="W30" s="42">
        <f>IF(V30="-",8,IF(V30&lt;1,MAX(MIN(IF(V30&gt;'测算稿 '!V$6,(V30-'测算稿 '!V$6)*100*0.5+8,(V30-'测算稿 '!V$6)*100*0.2+8),10),0),10))</f>
        <v>6.2171279643262</v>
      </c>
      <c r="X30" s="50">
        <f>VLOOKUP(B30,基础数!$1:$1048576,12,FALSE)</f>
        <v>0.953728568477587</v>
      </c>
      <c r="Y30" s="42">
        <f>IF(X30='测算稿 '!X$6,8,IF(X30&lt;1,MAX(MIN(IF(X30&gt;'测算稿 '!X$6,(X30-'测算稿 '!X$6)*100*0.4+8,(X30-'测算稿 '!X$6)*100*0.2+8),10),0),10))</f>
        <v>8.08014329257496</v>
      </c>
      <c r="Z30" s="55">
        <v>0</v>
      </c>
      <c r="AA30" s="42">
        <f>MIN(MAX(IF(Z30=0,10,IF(Z30&lt;'测算稿 '!Z$6,8+('测算稿 '!Z$6-Z30)*2,8+('测算稿 '!Z$6-Z30)*0.4)),0),10)</f>
        <v>10</v>
      </c>
      <c r="AB30" s="50">
        <f>VLOOKUP(B30,基础数!$1:$1048576,13,FALSE)</f>
        <v>0.0014658848614072</v>
      </c>
      <c r="AC30" s="50">
        <f>VLOOKUP(B30,基础数!$1:$1048576,14,FALSE)</f>
        <v>0.252586073799599</v>
      </c>
      <c r="AD30" s="50">
        <f>VLOOKUP(B30,基础数!$1:$1048576,15,FALSE)</f>
        <v>0.0076430489568271</v>
      </c>
      <c r="AE30" s="42">
        <f>MIN(2,IF(AB30&lt;'测算稿 '!AB$6*1.1,0,(AB30/'测算稿 '!AB$6-1.1)*10*0.4))+MIN(2,IF(AC30&lt;'测算稿 '!AC$6*1.1,0,(AC30/'测算稿 '!AC$6-1.1)*10*0.4))+MIN(2,IF(AD30&lt;'测算稿 '!AD$6*1.1,0,(AD30/'测算稿 '!AD$6-1.1)*10*0.4))</f>
        <v>0.888664641998528</v>
      </c>
    </row>
    <row r="31" s="28" customFormat="1" ht="15" customHeight="1" spans="1:31">
      <c r="A31" s="39">
        <f t="shared" si="0"/>
        <v>25</v>
      </c>
      <c r="B31" s="40" t="s">
        <v>135</v>
      </c>
      <c r="C31" s="36">
        <f t="shared" si="1"/>
        <v>69.0214503920474</v>
      </c>
      <c r="D31" s="41">
        <f>VLOOKUP(B31,基础数!$1:$1048576,2,FALSE)</f>
        <v>3.40965346534653</v>
      </c>
      <c r="E31" s="42">
        <f>IF(D31="-",9.6,MAX(MIN(IF(D31&gt;'测算稿 '!D$6,('测算稿 '!D$6-D31)*0.6+9.6,('测算稿 '!D$6-D31)*0.6+9.6),12),0))</f>
        <v>11.0513335646479</v>
      </c>
      <c r="F31" s="41">
        <f>VLOOKUP(B31,基础数!$1:$1048576,3,FALSE)</f>
        <v>125.166666666667</v>
      </c>
      <c r="G31" s="42">
        <f>IF(F31="-",6.4,MAX(MIN(IF(F31&gt;'测算稿 '!F$6,('测算稿 '!F$6-F31)*0.1+6.4,('测算稿 '!F$6-F31)*0.1+6.4),8),0))</f>
        <v>3.72462988551122</v>
      </c>
      <c r="H31" s="41">
        <f>VLOOKUP(B31,基础数!$1:$1048576,4,FALSE)</f>
        <v>36.0669191919192</v>
      </c>
      <c r="I31" s="42">
        <f>IF(H31="-",9.6,MAX(MIN(IF(H31&gt;'测算稿 '!H$6,('测算稿 '!H$6-H31)*0.3+9.6,('测算稿 '!H$6-H31)*0.6+9.6),12),0))</f>
        <v>3.18423302208966</v>
      </c>
      <c r="J31" s="41">
        <f>VLOOKUP(B31,基础数!$1:$1048576,5,FALSE)</f>
        <v>147.885416666667</v>
      </c>
      <c r="K31" s="42">
        <f>IF(J31="-",6.4,MAX(MIN(IF(J31&gt;'测算稿 '!J$6,('测算稿 '!J$6-J31)*0.1+6.4,('测算稿 '!J$6-J31)*0.2+6.4),8),0))</f>
        <v>0</v>
      </c>
      <c r="L31" s="41">
        <f>VLOOKUP(B31,基础数!$1:$1048576,6,FALSE)</f>
        <v>4.98691460055096</v>
      </c>
      <c r="M31" s="42">
        <f>IF(L31="-",4.8,MAX(MIN(IF(L31&gt;'测算稿 '!L$6,('测算稿 '!L$6-L31)*0.2+4.8,('测算稿 '!L$6-L31)*0.2+4.8),6),0))</f>
        <v>5.88852607087685</v>
      </c>
      <c r="N31" s="41">
        <f>VLOOKUP(B31,基础数!$1:$1048576,7,FALSE)</f>
        <v>125.982323232323</v>
      </c>
      <c r="O31" s="42">
        <f>IF(N31="-",3.2,MAX(MIN(IF(N31&gt;'测算稿 '!N$6,('测算稿 '!N$6-N31)*0.05+3.2,('测算稿 '!N$6-N31)*0.05+3.2),4),0))</f>
        <v>2.51397442618145</v>
      </c>
      <c r="P31" s="41">
        <f>VLOOKUP(B31,基础数!$1:$1048576,8,FALSE)</f>
        <v>9.46412037037037</v>
      </c>
      <c r="Q31" s="42">
        <f>IF(P31="-",4.8,MAX(MIN(IF(P31&gt;'测算稿 '!P$6,('测算稿 '!P$6-P31)*0.2+4.8,('测算稿 '!P$6-P31)*0.2+4.8),6),0))</f>
        <v>6</v>
      </c>
      <c r="R31" s="41">
        <f>VLOOKUP(B31,基础数!$1:$1048576,9,FALSE)</f>
        <v>347.069444444444</v>
      </c>
      <c r="S31" s="42">
        <f>IF(R31="-",3.2,MAX(MIN(IF(R31&gt;'测算稿 '!R$6,('测算稿 '!R$6-R31)*0.05+3.2,('测算稿 '!R$6-R31)*0.05+3.2),4),0))</f>
        <v>0</v>
      </c>
      <c r="T31" s="50">
        <f>VLOOKUP(B31,基础数!$1:$1048576,10,FALSE)</f>
        <v>0.979166666666667</v>
      </c>
      <c r="U31" s="42">
        <f>IF(T31="-",8,IF(T31&lt;1,MAX(MIN(IF(T31&gt;'测算稿 '!T$6,(T31-'测算稿 '!T$6)*100*0.5+8,(T31-'测算稿 '!T$6)*100*0.2+8),10),0),10))</f>
        <v>10</v>
      </c>
      <c r="V31" s="50">
        <f>VLOOKUP(B31,基础数!$1:$1048576,11,FALSE)</f>
        <v>0.898876404494382</v>
      </c>
      <c r="W31" s="42">
        <f>IF(V31="-",8,IF(V31&lt;1,MAX(MIN(IF(V31&gt;'测算稿 '!V$6,(V31-'测算稿 '!V$6)*100*0.5+8,(V31-'测算稿 '!V$6)*100*0.2+8),10),0),10))</f>
        <v>8.94874734440705</v>
      </c>
      <c r="X31" s="50">
        <f>VLOOKUP(B31,基础数!$1:$1048576,12,FALSE)</f>
        <v>0.994475138121547</v>
      </c>
      <c r="Y31" s="42">
        <f>IF(X31='测算稿 '!X$6,8,IF(X31&lt;1,MAX(MIN(IF(X31&gt;'测算稿 '!X$6,(X31-'测算稿 '!X$6)*100*0.4+8,(X31-'测算稿 '!X$6)*100*0.2+8),10),0),10))</f>
        <v>9.71000607833336</v>
      </c>
      <c r="Z31" s="55">
        <v>0</v>
      </c>
      <c r="AA31" s="42">
        <f>MIN(MAX(IF(Z31=0,10,IF(Z31&lt;'测算稿 '!Z$6,8+('测算稿 '!Z$6-Z31)*2,8+('测算稿 '!Z$6-Z31)*0.4)),0),10)</f>
        <v>10</v>
      </c>
      <c r="AB31" s="50">
        <f>VLOOKUP(B31,基础数!$1:$1048576,13,FALSE)</f>
        <v>0.0135135135135135</v>
      </c>
      <c r="AC31" s="50">
        <f>VLOOKUP(B31,基础数!$1:$1048576,14,FALSE)</f>
        <v>0.144208037825059</v>
      </c>
      <c r="AD31" s="50">
        <f>VLOOKUP(B31,基础数!$1:$1048576,15,FALSE)</f>
        <v>0</v>
      </c>
      <c r="AE31" s="42">
        <f>MIN(2,IF(AB31&lt;'测算稿 '!AB$6*1.1,0,(AB31/'测算稿 '!AB$6-1.1)*10*0.4))+MIN(2,IF(AC31&lt;'测算稿 '!AC$6*1.1,0,(AC31/'测算稿 '!AC$6-1.1)*10*0.4))+MIN(2,IF(AD31&lt;'测算稿 '!AD$6*1.1,0,(AD31/'测算稿 '!AD$6-1.1)*10*0.4))</f>
        <v>2</v>
      </c>
    </row>
    <row r="32" s="28" customFormat="1" ht="15" customHeight="1" spans="1:31">
      <c r="A32" s="39">
        <f t="shared" si="0"/>
        <v>26</v>
      </c>
      <c r="B32" s="40" t="s">
        <v>136</v>
      </c>
      <c r="C32" s="36">
        <f t="shared" si="1"/>
        <v>68.4431095310105</v>
      </c>
      <c r="D32" s="41">
        <f>VLOOKUP(B32,基础数!$1:$1048576,2,FALSE)</f>
        <v>4.3578431372549</v>
      </c>
      <c r="E32" s="42">
        <f>IF(D32="-",9.6,MAX(MIN(IF(D32&gt;'测算稿 '!D$6,('测算稿 '!D$6-D32)*0.6+9.6,('测算稿 '!D$6-D32)*0.6+9.6),12),0))</f>
        <v>10.4824197615028</v>
      </c>
      <c r="F32" s="41">
        <f>VLOOKUP(B32,基础数!$1:$1048576,3,FALSE)</f>
        <v>139.107142857143</v>
      </c>
      <c r="G32" s="42">
        <f>IF(F32="-",6.4,MAX(MIN(IF(F32&gt;'测算稿 '!F$6,('测算稿 '!F$6-F32)*0.1+6.4,('测算稿 '!F$6-F32)*0.1+6.4),8),0))</f>
        <v>2.33058226646362</v>
      </c>
      <c r="H32" s="41">
        <f>VLOOKUP(B32,基础数!$1:$1048576,4,FALSE)</f>
        <v>43.6847345132743</v>
      </c>
      <c r="I32" s="42">
        <f>IF(H32="-",9.6,MAX(MIN(IF(H32&gt;'测算稿 '!H$6,('测算稿 '!H$6-H32)*0.3+9.6,('测算稿 '!H$6-H32)*0.6+9.6),12),0))</f>
        <v>0.898888425683131</v>
      </c>
      <c r="J32" s="41">
        <f>VLOOKUP(B32,基础数!$1:$1048576,5,FALSE)</f>
        <v>212.303921568627</v>
      </c>
      <c r="K32" s="42">
        <f>IF(J32="-",6.4,MAX(MIN(IF(J32&gt;'测算稿 '!J$6,('测算稿 '!J$6-J32)*0.1+6.4,('测算稿 '!J$6-J32)*0.2+6.4),8),0))</f>
        <v>0</v>
      </c>
      <c r="L32" s="41">
        <f>VLOOKUP(B32,基础数!$1:$1048576,6,FALSE)</f>
        <v>3.68114657210402</v>
      </c>
      <c r="M32" s="42">
        <f>IF(L32="-",4.8,MAX(MIN(IF(L32&gt;'测算稿 '!L$6,('测算稿 '!L$6-L32)*0.2+4.8,('测算稿 '!L$6-L32)*0.2+4.8),6),0))</f>
        <v>6</v>
      </c>
      <c r="N32" s="41">
        <f>VLOOKUP(B32,基础数!$1:$1048576,7,FALSE)</f>
        <v>56.8467261904762</v>
      </c>
      <c r="O32" s="42">
        <f>IF(N32="-",3.2,MAX(MIN(IF(N32&gt;'测算稿 '!N$6,('测算稿 '!N$6-N32)*0.05+3.2,('测算稿 '!N$6-N32)*0.05+3.2),4),0))</f>
        <v>4</v>
      </c>
      <c r="P32" s="41">
        <f>VLOOKUP(B32,基础数!$1:$1048576,8,FALSE)</f>
        <v>5.44191919191919</v>
      </c>
      <c r="Q32" s="42">
        <f>IF(P32="-",4.8,MAX(MIN(IF(P32&gt;'测算稿 '!P$6,('测算稿 '!P$6-P32)*0.2+4.8,('测算稿 '!P$6-P32)*0.2+4.8),6),0))</f>
        <v>6</v>
      </c>
      <c r="R32" s="41">
        <f>VLOOKUP(B32,基础数!$1:$1048576,9,FALSE)</f>
        <v>182.200520833333</v>
      </c>
      <c r="S32" s="42">
        <f>IF(R32="-",3.2,MAX(MIN(IF(R32&gt;'测算稿 '!R$6,('测算稿 '!R$6-R32)*0.05+3.2,('测算稿 '!R$6-R32)*0.05+3.2),4),0))</f>
        <v>0.3314483173077</v>
      </c>
      <c r="T32" s="50">
        <f>VLOOKUP(B32,基础数!$1:$1048576,10,FALSE)</f>
        <v>1.03924914675768</v>
      </c>
      <c r="U32" s="42">
        <f>IF(T32="-",8,IF(T32&lt;1,MAX(MIN(IF(T32&gt;'测算稿 '!T$6,(T32-'测算稿 '!T$6)*100*0.5+8,(T32-'测算稿 '!T$6)*100*0.2+8),10),0),10))</f>
        <v>10</v>
      </c>
      <c r="V32" s="50">
        <f>VLOOKUP(B32,基础数!$1:$1048576,11,FALSE)</f>
        <v>1.28176795580111</v>
      </c>
      <c r="W32" s="42">
        <f>IF(V32="-",8,IF(V32&lt;1,MAX(MIN(IF(V32&gt;'测算稿 '!V$6,(V32-'测算稿 '!V$6)*100*0.5+8,(V32-'测算稿 '!V$6)*100*0.2+8),10),0),10))</f>
        <v>10</v>
      </c>
      <c r="X32" s="50">
        <f>VLOOKUP(B32,基础数!$1:$1048576,12,FALSE)</f>
        <v>0.985731272294887</v>
      </c>
      <c r="Y32" s="42">
        <f>IF(X32='测算稿 '!X$6,8,IF(X32&lt;1,MAX(MIN(IF(X32&gt;'测算稿 '!X$6,(X32-'测算稿 '!X$6)*100*0.4+8,(X32-'测算稿 '!X$6)*100*0.2+8),10),0),10))</f>
        <v>9.36025144526696</v>
      </c>
      <c r="Z32" s="55">
        <v>0</v>
      </c>
      <c r="AA32" s="42">
        <f>MIN(MAX(IF(Z32=0,10,IF(Z32&lt;'测算稿 '!Z$6,8+('测算稿 '!Z$6-Z32)*2,8+('测算稿 '!Z$6-Z32)*0.4)),0),10)</f>
        <v>10</v>
      </c>
      <c r="AB32" s="50">
        <f>VLOOKUP(B32,基础数!$1:$1048576,13,FALSE)</f>
        <v>0.00366032210834555</v>
      </c>
      <c r="AC32" s="50">
        <f>VLOOKUP(B32,基础数!$1:$1048576,14,FALSE)</f>
        <v>0.413937282229965</v>
      </c>
      <c r="AD32" s="50">
        <f>VLOOKUP(B32,基础数!$1:$1048576,15,FALSE)</f>
        <v>0.00475624256837099</v>
      </c>
      <c r="AE32" s="42">
        <f>MIN(2,IF(AB32&lt;'测算稿 '!AB$6*1.1,0,(AB32/'测算稿 '!AB$6-1.1)*10*0.4))+MIN(2,IF(AC32&lt;'测算稿 '!AC$6*1.1,0,(AC32/'测算稿 '!AC$6-1.1)*10*0.4))+MIN(2,IF(AD32&lt;'测算稿 '!AD$6*1.1,0,(AD32/'测算稿 '!AD$6-1.1)*10*0.4))</f>
        <v>0.960480685213753</v>
      </c>
    </row>
    <row r="33" s="28" customFormat="1" ht="15" customHeight="1" spans="1:31">
      <c r="A33" s="39">
        <f t="shared" si="0"/>
        <v>27</v>
      </c>
      <c r="B33" s="43" t="s">
        <v>137</v>
      </c>
      <c r="C33" s="36">
        <f t="shared" si="1"/>
        <v>66.7364832020767</v>
      </c>
      <c r="D33" s="41">
        <f>VLOOKUP(B33,基础数!$1:$1048576,2,FALSE)</f>
        <v>5.71597222222222</v>
      </c>
      <c r="E33" s="42">
        <f>IF(D33="-",9.6,MAX(MIN(IF(D33&gt;'测算稿 '!D$6,('测算稿 '!D$6-D33)*0.6+9.6,('测算稿 '!D$6-D33)*0.6+9.6),12),0))</f>
        <v>9.66754231052245</v>
      </c>
      <c r="F33" s="41">
        <f>VLOOKUP(B33,基础数!$1:$1048576,3,FALSE)</f>
        <v>149.49053030303</v>
      </c>
      <c r="G33" s="42">
        <f>IF(F33="-",6.4,MAX(MIN(IF(F33&gt;'测算稿 '!F$6,('测算稿 '!F$6-F33)*0.1+6.4,('测算稿 '!F$6-F33)*0.1+6.4),8),0))</f>
        <v>1.29224352187492</v>
      </c>
      <c r="H33" s="41">
        <f>VLOOKUP(B33,基础数!$1:$1048576,4,FALSE)</f>
        <v>33.4268518518519</v>
      </c>
      <c r="I33" s="42">
        <f>IF(H33="-",9.6,MAX(MIN(IF(H33&gt;'测算稿 '!H$6,('测算稿 '!H$6-H33)*0.3+9.6,('测算稿 '!H$6-H33)*0.6+9.6),12),0))</f>
        <v>3.97625322410985</v>
      </c>
      <c r="J33" s="41">
        <f>VLOOKUP(B33,基础数!$1:$1048576,5,FALSE)</f>
        <v>221.474358974359</v>
      </c>
      <c r="K33" s="42">
        <f>IF(J33="-",6.4,MAX(MIN(IF(J33&gt;'测算稿 '!J$6,('测算稿 '!J$6-J33)*0.1+6.4,('测算稿 '!J$6-J33)*0.2+6.4),8),0))</f>
        <v>0</v>
      </c>
      <c r="L33" s="41">
        <f>VLOOKUP(B33,基础数!$1:$1048576,6,FALSE)</f>
        <v>9.15128205128205</v>
      </c>
      <c r="M33" s="42">
        <f>IF(L33="-",4.8,MAX(MIN(IF(L33&gt;'测算稿 '!L$6,('测算稿 '!L$6-L33)*0.2+4.8,('测算稿 '!L$6-L33)*0.2+4.8),6),0))</f>
        <v>5.05565258073063</v>
      </c>
      <c r="N33" s="41">
        <f>VLOOKUP(B33,基础数!$1:$1048576,7,FALSE)</f>
        <v>174.319444444444</v>
      </c>
      <c r="O33" s="42">
        <f>IF(N33="-",3.2,MAX(MIN(IF(N33&gt;'测算稿 '!N$6,('测算稿 '!N$6-N33)*0.05+3.2,('测算稿 '!N$6-N33)*0.05+3.2),4),0))</f>
        <v>0.0971183655753998</v>
      </c>
      <c r="P33" s="41">
        <f>VLOOKUP(B33,基础数!$1:$1048576,8,FALSE)</f>
        <v>21.8224637681159</v>
      </c>
      <c r="Q33" s="42">
        <f>IF(P33="-",4.8,MAX(MIN(IF(P33&gt;'测算稿 '!P$6,('测算稿 '!P$6-P33)*0.2+4.8,('测算稿 '!P$6-P33)*0.2+4.8),6),0))</f>
        <v>4.96788720824196</v>
      </c>
      <c r="R33" s="41">
        <f>VLOOKUP(B33,基础数!$1:$1048576,9,FALSE)</f>
        <v>93.4583333333333</v>
      </c>
      <c r="S33" s="42">
        <f>IF(R33="-",3.2,MAX(MIN(IF(R33&gt;'测算稿 '!R$6,('测算稿 '!R$6-R33)*0.05+3.2,('测算稿 '!R$6-R33)*0.05+3.2),4),0))</f>
        <v>4</v>
      </c>
      <c r="T33" s="50">
        <f>VLOOKUP(B33,基础数!$1:$1048576,10,FALSE)</f>
        <v>0.971751412429379</v>
      </c>
      <c r="U33" s="42">
        <f>IF(T33="-",8,IF(T33&lt;1,MAX(MIN(IF(T33&gt;'测算稿 '!T$6,(T33-'测算稿 '!T$6)*100*0.5+8,(T33-'测算稿 '!T$6)*100*0.2+8),10),0),10))</f>
        <v>10</v>
      </c>
      <c r="V33" s="50">
        <f>VLOOKUP(B33,基础数!$1:$1048576,11,FALSE)</f>
        <v>0.972972972972973</v>
      </c>
      <c r="W33" s="42">
        <f>IF(V33="-",8,IF(V33&lt;1,MAX(MIN(IF(V33&gt;'测算稿 '!V$6,(V33-'测算稿 '!V$6)*100*0.5+8,(V33-'测算稿 '!V$6)*100*0.2+8),10),0),10))</f>
        <v>10</v>
      </c>
      <c r="X33" s="50">
        <f>VLOOKUP(B33,基础数!$1:$1048576,12,FALSE)</f>
        <v>0.935714285714286</v>
      </c>
      <c r="Y33" s="42">
        <f>IF(X33='测算稿 '!X$6,8,IF(X33&lt;1,MAX(MIN(IF(X33&gt;'测算稿 '!X$6,(X33-'测算稿 '!X$6)*100*0.4+8,(X33-'测算稿 '!X$6)*100*0.2+8),10),0),10))</f>
        <v>7.67978599102146</v>
      </c>
      <c r="Z33" s="55">
        <v>0</v>
      </c>
      <c r="AA33" s="42">
        <f>MIN(MAX(IF(Z33=0,10,IF(Z33&lt;'测算稿 '!Z$6,8+('测算稿 '!Z$6-Z33)*2,8+('测算稿 '!Z$6-Z33)*0.4)),0),10)</f>
        <v>10</v>
      </c>
      <c r="AB33" s="50">
        <f>VLOOKUP(B33,基础数!$1:$1048576,13,FALSE)</f>
        <v>0</v>
      </c>
      <c r="AC33" s="50">
        <f>VLOOKUP(B33,基础数!$1:$1048576,14,FALSE)</f>
        <v>0.33806146572104</v>
      </c>
      <c r="AD33" s="50">
        <f>VLOOKUP(B33,基础数!$1:$1048576,15,FALSE)</f>
        <v>0</v>
      </c>
      <c r="AE33" s="42">
        <f>MIN(2,IF(AB33&lt;'测算稿 '!AB$6*1.1,0,(AB33/'测算稿 '!AB$6-1.1)*10*0.4))+MIN(2,IF(AC33&lt;'测算稿 '!AC$6*1.1,0,(AC33/'测算稿 '!AC$6-1.1)*10*0.4))+MIN(2,IF(AD33&lt;'测算稿 '!AD$6*1.1,0,(AD33/'测算稿 '!AD$6-1.1)*10*0.4))</f>
        <v>0</v>
      </c>
    </row>
    <row r="34" s="28" customFormat="1" ht="15" customHeight="1" spans="1:31">
      <c r="A34" s="39">
        <f t="shared" si="0"/>
        <v>28</v>
      </c>
      <c r="B34" s="43" t="s">
        <v>138</v>
      </c>
      <c r="C34" s="36">
        <f t="shared" si="1"/>
        <v>66.672312115878</v>
      </c>
      <c r="D34" s="41">
        <f>VLOOKUP(B34,基础数!$1:$1048576,2,FALSE)</f>
        <v>7.03206928838951</v>
      </c>
      <c r="E34" s="42">
        <f>IF(D34="-",9.6,MAX(MIN(IF(D34&gt;'测算稿 '!D$6,('测算稿 '!D$6-D34)*0.6+9.6,('测算稿 '!D$6-D34)*0.6+9.6),12),0))</f>
        <v>8.87788407082207</v>
      </c>
      <c r="F34" s="41">
        <f>VLOOKUP(B34,基础数!$1:$1048576,3,FALSE)</f>
        <v>134.720175438597</v>
      </c>
      <c r="G34" s="42">
        <f>IF(F34="-",6.4,MAX(MIN(IF(F34&gt;'测算稿 '!F$6,('测算稿 '!F$6-F34)*0.1+6.4,('测算稿 '!F$6-F34)*0.1+6.4),8),0))</f>
        <v>2.76927900831822</v>
      </c>
      <c r="H34" s="41">
        <f>VLOOKUP(B34,基础数!$1:$1048576,4,FALSE)</f>
        <v>15.9184322033898</v>
      </c>
      <c r="I34" s="42">
        <f>IF(H34="-",9.6,MAX(MIN(IF(H34&gt;'测算稿 '!H$6,('测算稿 '!H$6-H34)*0.3+9.6,('测算稿 '!H$6-H34)*0.6+9.6),12),0))</f>
        <v>9.22877911864848</v>
      </c>
      <c r="J34" s="41">
        <f>VLOOKUP(B34,基础数!$1:$1048576,5,FALSE)</f>
        <v>91.9278455284553</v>
      </c>
      <c r="K34" s="42">
        <f>IF(J34="-",6.4,MAX(MIN(IF(J34&gt;'测算稿 '!J$6,('测算稿 '!J$6-J34)*0.1+6.4,('测算稿 '!J$6-J34)*0.2+6.4),8),0))</f>
        <v>5.58206981129349</v>
      </c>
      <c r="L34" s="41">
        <f>VLOOKUP(B34,基础数!$1:$1048576,6,FALSE)</f>
        <v>8.54166666666667</v>
      </c>
      <c r="M34" s="42">
        <f>IF(L34="-",4.8,MAX(MIN(IF(L34&gt;'测算稿 '!L$6,('测算稿 '!L$6-L34)*0.2+4.8,('测算稿 '!L$6-L34)*0.2+4.8),6),0))</f>
        <v>5.17757565765371</v>
      </c>
      <c r="N34" s="41">
        <f>VLOOKUP(B34,基础数!$1:$1048576,7,FALSE)</f>
        <v>165.753571428571</v>
      </c>
      <c r="O34" s="42">
        <f>IF(N34="-",3.2,MAX(MIN(IF(N34&gt;'测算稿 '!N$6,('测算稿 '!N$6-N34)*0.05+3.2,('测算稿 '!N$6-N34)*0.05+3.2),4),0))</f>
        <v>0.525412016369049</v>
      </c>
      <c r="P34" s="41">
        <f>VLOOKUP(B34,基础数!$1:$1048576,8,FALSE)</f>
        <v>35.5710784313726</v>
      </c>
      <c r="Q34" s="42">
        <f>IF(P34="-",4.8,MAX(MIN(IF(P34&gt;'测算稿 '!P$6,('测算稿 '!P$6-P34)*0.2+4.8,('测算稿 '!P$6-P34)*0.2+4.8),6),0))</f>
        <v>2.21816427559062</v>
      </c>
      <c r="R34" s="41">
        <f>VLOOKUP(B34,基础数!$1:$1048576,9,FALSE)</f>
        <v>117.09011627907</v>
      </c>
      <c r="S34" s="42">
        <f>IF(R34="-",3.2,MAX(MIN(IF(R34&gt;'测算稿 '!R$6,('测算稿 '!R$6-R34)*0.05+3.2,('测算稿 '!R$6-R34)*0.05+3.2),4),0))</f>
        <v>3.58696854502085</v>
      </c>
      <c r="T34" s="50">
        <f>VLOOKUP(B34,基础数!$1:$1048576,10,FALSE)</f>
        <v>0.873164218958612</v>
      </c>
      <c r="U34" s="42">
        <f>IF(T34="-",8,IF(T34&lt;1,MAX(MIN(IF(T34&gt;'测算稿 '!T$6,(T34-'测算稿 '!T$6)*100*0.5+8,(T34-'测算稿 '!T$6)*100*0.2+8),10),0),10))</f>
        <v>6.92982537822974</v>
      </c>
      <c r="V34" s="50">
        <f>VLOOKUP(B34,基础数!$1:$1048576,11,FALSE)</f>
        <v>0.822128851540616</v>
      </c>
      <c r="W34" s="42">
        <f>IF(V34="-",8,IF(V34&lt;1,MAX(MIN(IF(V34&gt;'测算稿 '!V$6,(V34-'测算稿 '!V$6)*100*0.5+8,(V34-'测算稿 '!V$6)*100*0.2+8),10),0),10))</f>
        <v>6.8445478786875</v>
      </c>
      <c r="X34" s="50">
        <f>VLOOKUP(B34,基础数!$1:$1048576,12,FALSE)</f>
        <v>0.975020145044319</v>
      </c>
      <c r="Y34" s="42">
        <f>IF(X34='测算稿 '!X$6,8,IF(X34&lt;1,MAX(MIN(IF(X34&gt;'测算稿 '!X$6,(X34-'测算稿 '!X$6)*100*0.4+8,(X34-'测算稿 '!X$6)*100*0.2+8),10),0),10))</f>
        <v>8.93180635524424</v>
      </c>
      <c r="Z34" s="56">
        <v>0</v>
      </c>
      <c r="AA34" s="42">
        <f>MIN(MAX(IF(Z34=0,10,IF(Z34&lt;'测算稿 '!Z$6,8+('测算稿 '!Z$6-Z34)*2,8+('测算稿 '!Z$6-Z34)*0.4)),0),10)</f>
        <v>10</v>
      </c>
      <c r="AB34" s="50">
        <f>VLOOKUP(B34,基础数!$1:$1048576,13,FALSE)</f>
        <v>0.0217391304347826</v>
      </c>
      <c r="AC34" s="50">
        <f>VLOOKUP(B34,基础数!$1:$1048576,14,FALSE)</f>
        <v>0.311702717692734</v>
      </c>
      <c r="AD34" s="50">
        <f>VLOOKUP(B34,基础数!$1:$1048576,15,FALSE)</f>
        <v>0.0177276390008058</v>
      </c>
      <c r="AE34" s="42">
        <f>MIN(2,IF(AB34&lt;'测算稿 '!AB$6*1.1,0,(AB34/'测算稿 '!AB$6-1.1)*10*0.4))+MIN(2,IF(AC34&lt;'测算稿 '!AC$6*1.1,0,(AC34/'测算稿 '!AC$6-1.1)*10*0.4))+MIN(2,IF(AD34&lt;'测算稿 '!AD$6*1.1,0,(AD34/'测算稿 '!AD$6-1.1)*10*0.4))</f>
        <v>4</v>
      </c>
    </row>
    <row r="35" s="28" customFormat="1" ht="15" customHeight="1" spans="1:31">
      <c r="A35" s="39">
        <f t="shared" si="0"/>
        <v>29</v>
      </c>
      <c r="B35" s="43" t="s">
        <v>139</v>
      </c>
      <c r="C35" s="36">
        <f t="shared" si="1"/>
        <v>65.3320450979685</v>
      </c>
      <c r="D35" s="41">
        <f>VLOOKUP(B35,基础数!$1:$1048576,2,FALSE)</f>
        <v>6.92741090146751</v>
      </c>
      <c r="E35" s="42">
        <f>IF(D35="-",9.6,MAX(MIN(IF(D35&gt;'测算稿 '!D$6,('测算稿 '!D$6-D35)*0.6+9.6,('测算稿 '!D$6-D35)*0.6+9.6),12),0))</f>
        <v>8.94067910297527</v>
      </c>
      <c r="F35" s="41">
        <f>VLOOKUP(B35,基础数!$1:$1048576,3,FALSE)</f>
        <v>117.575</v>
      </c>
      <c r="G35" s="42">
        <f>IF(F35="-",6.4,MAX(MIN(IF(F35&gt;'测算稿 '!F$6,('测算稿 '!F$6-F35)*0.1+6.4,('测算稿 '!F$6-F35)*0.1+6.4),8),0))</f>
        <v>4.48379655217792</v>
      </c>
      <c r="H35" s="41">
        <f>VLOOKUP(B35,基础数!$1:$1048576,4,FALSE)</f>
        <v>21.057123655914</v>
      </c>
      <c r="I35" s="42">
        <f>IF(H35="-",9.6,MAX(MIN(IF(H35&gt;'测算稿 '!H$6,('测算稿 '!H$6-H35)*0.3+9.6,('测算稿 '!H$6-H35)*0.6+9.6),12),0))</f>
        <v>7.68717168289122</v>
      </c>
      <c r="J35" s="41">
        <f>VLOOKUP(B35,基础数!$1:$1048576,5,FALSE)</f>
        <v>245.241666666667</v>
      </c>
      <c r="K35" s="42">
        <f>IF(J35="-",6.4,MAX(MIN(IF(J35&gt;'测算稿 '!J$6,('测算稿 '!J$6-J35)*0.1+6.4,('测算稿 '!J$6-J35)*0.2+6.4),8),0))</f>
        <v>0</v>
      </c>
      <c r="L35" s="41">
        <f>VLOOKUP(B35,基础数!$1:$1048576,6,FALSE)</f>
        <v>15.1266762452107</v>
      </c>
      <c r="M35" s="42">
        <f>IF(L35="-",4.8,MAX(MIN(IF(L35&gt;'测算稿 '!L$6,('测算稿 '!L$6-L35)*0.2+4.8,('测算稿 '!L$6-L35)*0.2+4.8),6),0))</f>
        <v>3.8605737419449</v>
      </c>
      <c r="N35" s="41">
        <f>VLOOKUP(B35,基础数!$1:$1048576,7,FALSE)</f>
        <v>227.950980392157</v>
      </c>
      <c r="O35" s="42">
        <f>IF(N35="-",3.2,MAX(MIN(IF(N35&gt;'测算稿 '!N$6,('测算稿 '!N$6-N35)*0.05+3.2,('测算稿 '!N$6-N35)*0.05+3.2),4),0))</f>
        <v>0</v>
      </c>
      <c r="P35" s="41">
        <f>VLOOKUP(B35,基础数!$1:$1048576,8,FALSE)</f>
        <v>22.6065891472868</v>
      </c>
      <c r="Q35" s="42">
        <f>IF(P35="-",4.8,MAX(MIN(IF(P35&gt;'测算稿 '!P$6,('测算稿 '!P$6-P35)*0.2+4.8,('测算稿 '!P$6-P35)*0.2+4.8),6),0))</f>
        <v>4.81106213240778</v>
      </c>
      <c r="R35" s="41">
        <f>VLOOKUP(B35,基础数!$1:$1048576,9,FALSE)</f>
        <v>295.462837837838</v>
      </c>
      <c r="S35" s="42">
        <f>IF(R35="-",3.2,MAX(MIN(IF(R35&gt;'测算稿 '!R$6,('测算稿 '!R$6-R35)*0.05+3.2,('测算稿 '!R$6-R35)*0.05+3.2),4),0))</f>
        <v>0</v>
      </c>
      <c r="T35" s="50">
        <f>VLOOKUP(B35,基础数!$1:$1048576,10,FALSE)</f>
        <v>1.01970443349754</v>
      </c>
      <c r="U35" s="42">
        <f>IF(T35="-",8,IF(T35&lt;1,MAX(MIN(IF(T35&gt;'测算稿 '!T$6,(T35-'测算稿 '!T$6)*100*0.5+8,(T35-'测算稿 '!T$6)*100*0.2+8),10),0),10))</f>
        <v>10</v>
      </c>
      <c r="V35" s="50">
        <f>VLOOKUP(B35,基础数!$1:$1048576,11,FALSE)</f>
        <v>1.03870967741936</v>
      </c>
      <c r="W35" s="42">
        <f>IF(V35="-",8,IF(V35&lt;1,MAX(MIN(IF(V35&gt;'测算稿 '!V$6,(V35-'测算稿 '!V$6)*100*0.5+8,(V35-'测算稿 '!V$6)*100*0.2+8),10),0),10))</f>
        <v>10</v>
      </c>
      <c r="X35" s="50">
        <f>VLOOKUP(B35,基础数!$1:$1048576,12,FALSE)</f>
        <v>0.980869565217391</v>
      </c>
      <c r="Y35" s="42">
        <f>IF(X35='测算稿 '!X$6,8,IF(X35&lt;1,MAX(MIN(IF(X35&gt;'测算稿 '!X$6,(X35-'测算稿 '!X$6)*100*0.4+8,(X35-'测算稿 '!X$6)*100*0.2+8),10),0),10))</f>
        <v>9.16578316216712</v>
      </c>
      <c r="Z35" s="55">
        <v>0</v>
      </c>
      <c r="AA35" s="42">
        <f>MIN(MAX(IF(Z35=0,10,IF(Z35&lt;'测算稿 '!Z$6,8+('测算稿 '!Z$6-Z35)*2,8+('测算稿 '!Z$6-Z35)*0.4)),0),10)</f>
        <v>10</v>
      </c>
      <c r="AB35" s="50">
        <f>VLOOKUP(B35,基础数!$1:$1048576,13,FALSE)</f>
        <v>0.0369047619047619</v>
      </c>
      <c r="AC35" s="50">
        <f>VLOOKUP(B35,基础数!$1:$1048576,14,FALSE)</f>
        <v>0.301336573511543</v>
      </c>
      <c r="AD35" s="50">
        <f>VLOOKUP(B35,基础数!$1:$1048576,15,FALSE)</f>
        <v>0.00869565217391304</v>
      </c>
      <c r="AE35" s="42">
        <f>MIN(2,IF(AB35&lt;'测算稿 '!AB$6*1.1,0,(AB35/'测算稿 '!AB$6-1.1)*10*0.4))+MIN(2,IF(AC35&lt;'测算稿 '!AC$6*1.1,0,(AC35/'测算稿 '!AC$6-1.1)*10*0.4))+MIN(2,IF(AD35&lt;'测算稿 '!AD$6*1.1,0,(AD35/'测算稿 '!AD$6-1.1)*10*0.4))</f>
        <v>3.61702127659574</v>
      </c>
    </row>
    <row r="36" s="28" customFormat="1" ht="15" customHeight="1" spans="1:31">
      <c r="A36" s="39">
        <f t="shared" si="0"/>
        <v>30</v>
      </c>
      <c r="B36" s="43" t="s">
        <v>140</v>
      </c>
      <c r="C36" s="36">
        <f t="shared" si="1"/>
        <v>63.9715009708525</v>
      </c>
      <c r="D36" s="41">
        <f>VLOOKUP(B36,基础数!$1:$1048576,2,FALSE)</f>
        <v>31.84375</v>
      </c>
      <c r="E36" s="42">
        <f>IF(D36="-",9.6,MAX(MIN(IF(D36&gt;'测算稿 '!D$6,('测算稿 '!D$6-D36)*0.6+9.6,('测算稿 '!D$6-D36)*0.6+9.6),12),0))</f>
        <v>0</v>
      </c>
      <c r="F36" s="41">
        <f>VLOOKUP(B36,基础数!$1:$1048576,3,FALSE)</f>
        <v>55.0729166666667</v>
      </c>
      <c r="G36" s="42">
        <f>IF(F36="-",6.4,MAX(MIN(IF(F36&gt;'测算稿 '!F$6,('测算稿 '!F$6-F36)*0.1+6.4,('测算稿 '!F$6-F36)*0.1+6.4),8),0))</f>
        <v>8</v>
      </c>
      <c r="H36" s="41">
        <f>VLOOKUP(B36,基础数!$1:$1048576,4,FALSE)</f>
        <v>133.113888888889</v>
      </c>
      <c r="I36" s="42">
        <f>IF(H36="-",9.6,MAX(MIN(IF(H36&gt;'测算稿 '!H$6,('测算稿 '!H$6-H36)*0.3+9.6,('测算稿 '!H$6-H36)*0.6+9.6),12),0))</f>
        <v>0</v>
      </c>
      <c r="J36" s="44">
        <v>83.7485436413902</v>
      </c>
      <c r="K36" s="42">
        <f>IF(J36="-",6.4,MAX(MIN(IF(J36&gt;'测算稿 '!J$6,('测算稿 '!J$6-J36)*0.1+6.4,('测算稿 '!J$6-J36)*0.2+6.4),8),0))</f>
        <v>6.4</v>
      </c>
      <c r="L36" s="41">
        <f>VLOOKUP(B36,基础数!$1:$1048576,6,FALSE)</f>
        <v>28.84375</v>
      </c>
      <c r="M36" s="42">
        <f>IF(L36="-",4.8,MAX(MIN(IF(L36&gt;'测算稿 '!L$6,('测算稿 '!L$6-L36)*0.2+4.8,('测算稿 '!L$6-L36)*0.2+4.8),6),0))</f>
        <v>1.11715899098704</v>
      </c>
      <c r="N36" s="41">
        <f>VLOOKUP(B36,基础数!$1:$1048576,7,FALSE)</f>
        <v>29.7083333333333</v>
      </c>
      <c r="O36" s="42">
        <f>IF(N36="-",3.2,MAX(MIN(IF(N36&gt;'测算稿 '!N$6,('测算稿 '!N$6-N36)*0.05+3.2,('测算稿 '!N$6-N36)*0.05+3.2),4),0))</f>
        <v>4</v>
      </c>
      <c r="P36" s="41">
        <f>VLOOKUP(B36,基础数!$1:$1048576,8,FALSE)</f>
        <v>17.3541666666667</v>
      </c>
      <c r="Q36" s="42">
        <f>IF(P36="-",4.8,MAX(MIN(IF(P36&gt;'测算稿 '!P$6,('测算稿 '!P$6-P36)*0.2+4.8,('测算稿 '!P$6-P36)*0.2+4.8),6),0))</f>
        <v>5.8615466285318</v>
      </c>
      <c r="R36" s="41">
        <f>VLOOKUP(B36,基础数!$1:$1048576,9,FALSE)</f>
        <v>99.0208333333333</v>
      </c>
      <c r="S36" s="42">
        <f>IF(R36="-",3.2,MAX(MIN(IF(R36&gt;'测算稿 '!R$6,('测算稿 '!R$6-R36)*0.05+3.2,('测算稿 '!R$6-R36)*0.05+3.2),4),0))</f>
        <v>4</v>
      </c>
      <c r="T36" s="50">
        <f>VLOOKUP(B36,基础数!$1:$1048576,10,FALSE)</f>
        <v>0.918367346938776</v>
      </c>
      <c r="U36" s="42">
        <f>IF(T36="-",8,IF(T36&lt;1,MAX(MIN(IF(T36&gt;'测算稿 '!T$6,(T36-'测算稿 '!T$6)*100*0.5+8,(T36-'测算稿 '!T$6)*100*0.2+8),10),0),10))</f>
        <v>7.83388793783302</v>
      </c>
      <c r="V36" s="50">
        <f>VLOOKUP(B36,基础数!$1:$1048576,11,FALSE)</f>
        <v>0.869565217391304</v>
      </c>
      <c r="W36" s="42">
        <f>IF(V36="-",8,IF(V36&lt;1,MAX(MIN(IF(V36&gt;'测算稿 '!V$6,(V36-'测算稿 '!V$6)*100*0.5+8,(V36-'测算稿 '!V$6)*100*0.2+8),10),0),10))</f>
        <v>7.79327519570126</v>
      </c>
      <c r="X36" s="50">
        <f>VLOOKUP(B36,基础数!$1:$1048576,12,FALSE)</f>
        <v>1</v>
      </c>
      <c r="Y36" s="42">
        <f>IF(X36='测算稿 '!X$6,8,IF(X36&lt;1,MAX(MIN(IF(X36&gt;'测算稿 '!X$6,(X36-'测算稿 '!X$6)*100*0.4+8,(X36-'测算稿 '!X$6)*100*0.2+8),10),0),10))</f>
        <v>10</v>
      </c>
      <c r="Z36" s="55">
        <v>0</v>
      </c>
      <c r="AA36" s="42">
        <f>MIN(MAX(IF(Z36=0,10,IF(Z36&lt;'测算稿 '!Z$6,8+('测算稿 '!Z$6-Z36)*2,8+('测算稿 '!Z$6-Z36)*0.4)),0),10)</f>
        <v>10</v>
      </c>
      <c r="AB36" s="50">
        <f>VLOOKUP(B36,基础数!$1:$1048576,13,FALSE)</f>
        <v>0</v>
      </c>
      <c r="AC36" s="50">
        <f>VLOOKUP(B36,基础数!$1:$1048576,14,FALSE)</f>
        <v>0.419642857142857</v>
      </c>
      <c r="AD36" s="50">
        <f>VLOOKUP(B36,基础数!$1:$1048576,15,FALSE)</f>
        <v>0</v>
      </c>
      <c r="AE36" s="42">
        <f>MIN(2,IF(AB36&lt;'测算稿 '!AB$6*1.1,0,(AB36/'测算稿 '!AB$6-1.1)*10*0.4))+MIN(2,IF(AC36&lt;'测算稿 '!AC$6*1.1,0,(AC36/'测算稿 '!AC$6-1.1)*10*0.4))+MIN(2,IF(AD36&lt;'测算稿 '!AD$6*1.1,0,(AD36/'测算稿 '!AD$6-1.1)*10*0.4))</f>
        <v>1.0343677822006</v>
      </c>
    </row>
    <row r="37" s="28" customFormat="1" ht="15" customHeight="1" spans="1:31">
      <c r="A37" s="39">
        <f t="shared" si="0"/>
        <v>31</v>
      </c>
      <c r="B37" s="43" t="s">
        <v>72</v>
      </c>
      <c r="C37" s="36">
        <f t="shared" si="1"/>
        <v>62.9461018701709</v>
      </c>
      <c r="D37" s="41">
        <f>VLOOKUP(B37,基础数!$1:$1048576,2,FALSE)</f>
        <v>2.57986111111111</v>
      </c>
      <c r="E37" s="42">
        <f>IF(D37="-",9.6,MAX(MIN(IF(D37&gt;'测算稿 '!D$6,('测算稿 '!D$6-D37)*0.6+9.6,('测算稿 '!D$6-D37)*0.6+9.6),12),0))</f>
        <v>11.5492089771891</v>
      </c>
      <c r="F37" s="41">
        <f>VLOOKUP(B37,基础数!$1:$1048576,3,FALSE)</f>
        <v>172.680555555556</v>
      </c>
      <c r="G37" s="42">
        <f>IF(F37="-",6.4,MAX(MIN(IF(F37&gt;'测算稿 '!F$6,('测算稿 '!F$6-F37)*0.1+6.4,('测算稿 '!F$6-F37)*0.1+6.4),8),0))</f>
        <v>0</v>
      </c>
      <c r="H37" s="41">
        <f>VLOOKUP(B37,基础数!$1:$1048576,4,FALSE)</f>
        <v>20.9146341463415</v>
      </c>
      <c r="I37" s="42">
        <f>IF(H37="-",9.6,MAX(MIN(IF(H37&gt;'测算稿 '!H$6,('测算稿 '!H$6-H37)*0.3+9.6,('测算稿 '!H$6-H37)*0.6+9.6),12),0))</f>
        <v>7.72991853576297</v>
      </c>
      <c r="J37" s="41">
        <f>VLOOKUP(B37,基础数!$1:$1048576,5,FALSE)</f>
        <v>93.2916666666667</v>
      </c>
      <c r="K37" s="42">
        <f>IF(J37="-",6.4,MAX(MIN(IF(J37&gt;'测算稿 '!J$6,('测算稿 '!J$6-J37)*0.1+6.4,('测算稿 '!J$6-J37)*0.2+6.4),8),0))</f>
        <v>5.44568769747235</v>
      </c>
      <c r="L37" s="41">
        <f>VLOOKUP(B37,基础数!$1:$1048576,6,FALSE)</f>
        <v>2.05833333333333</v>
      </c>
      <c r="M37" s="42">
        <f>IF(L37="-",4.8,MAX(MIN(IF(L37&gt;'测算稿 '!L$6,('测算稿 '!L$6-L37)*0.2+4.8,('测算稿 '!L$6-L37)*0.2+4.8),6),0))</f>
        <v>6</v>
      </c>
      <c r="N37" s="41">
        <f>VLOOKUP(B37,基础数!$1:$1048576,7,FALSE)</f>
        <v>692</v>
      </c>
      <c r="O37" s="42">
        <f>IF(N37="-",3.2,MAX(MIN(IF(N37&gt;'测算稿 '!N$6,('测算稿 '!N$6-N37)*0.05+3.2,('测算稿 '!N$6-N37)*0.05+3.2),4),0))</f>
        <v>0</v>
      </c>
      <c r="P37" s="41">
        <f>VLOOKUP(B37,基础数!$1:$1048576,8,FALSE)</f>
        <v>175.5625</v>
      </c>
      <c r="Q37" s="42">
        <f>IF(P37="-",4.8,MAX(MIN(IF(P37&gt;'测算稿 '!P$6,('测算稿 '!P$6-P37)*0.2+4.8,('测算稿 '!P$6-P37)*0.2+4.8),6),0))</f>
        <v>0</v>
      </c>
      <c r="R37" s="41">
        <f>VLOOKUP(B37,基础数!$1:$1048576,9,FALSE)</f>
        <v>28.9166666666667</v>
      </c>
      <c r="S37" s="42">
        <f>IF(R37="-",3.2,MAX(MIN(IF(R37&gt;'测算稿 '!R$6,('测算稿 '!R$6-R37)*0.05+3.2,('测算稿 '!R$6-R37)*0.05+3.2),4),0))</f>
        <v>4</v>
      </c>
      <c r="T37" s="50">
        <f>VLOOKUP(B37,基础数!$1:$1048576,10,FALSE)</f>
        <v>0.87012987012987</v>
      </c>
      <c r="U37" s="42">
        <f>IF(T37="-",8,IF(T37&lt;1,MAX(MIN(IF(T37&gt;'测算稿 '!T$6,(T37-'测算稿 '!T$6)*100*0.5+8,(T37-'测算稿 '!T$6)*100*0.2+8),10),0),10))</f>
        <v>6.8691384016549</v>
      </c>
      <c r="V37" s="50">
        <f>VLOOKUP(B37,基础数!$1:$1048576,11,FALSE)</f>
        <v>0.80952380952381</v>
      </c>
      <c r="W37" s="42">
        <f>IF(V37="-",8,IF(V37&lt;1,MAX(MIN(IF(V37&gt;'测算稿 '!V$6,(V37-'测算稿 '!V$6)*100*0.5+8,(V37-'测算稿 '!V$6)*100*0.2+8),10),0),10))</f>
        <v>6.59244703835138</v>
      </c>
      <c r="X37" s="50">
        <f>VLOOKUP(B37,基础数!$1:$1048576,12,FALSE)</f>
        <v>0.991525423728814</v>
      </c>
      <c r="Y37" s="42">
        <f>IF(X37='测算稿 '!X$6,8,IF(X37&lt;1,MAX(MIN(IF(X37&gt;'测算稿 '!X$6,(X37-'测算稿 '!X$6)*100*0.4+8,(X37-'测算稿 '!X$6)*100*0.2+8),10),0),10))</f>
        <v>9.59201750262404</v>
      </c>
      <c r="Z37" s="55">
        <v>0</v>
      </c>
      <c r="AA37" s="42">
        <f>MIN(MAX(IF(Z37=0,10,IF(Z37&lt;'测算稿 '!Z$6,8+('测算稿 '!Z$6-Z37)*2,8+('测算稿 '!Z$6-Z37)*0.4)),0),10)</f>
        <v>10</v>
      </c>
      <c r="AB37" s="50">
        <f>VLOOKUP(B37,基础数!$1:$1048576,13,FALSE)</f>
        <v>0.0178571428571429</v>
      </c>
      <c r="AC37" s="50">
        <f>VLOOKUP(B37,基础数!$1:$1048576,14,FALSE)</f>
        <v>0.404040404040404</v>
      </c>
      <c r="AD37" s="50">
        <f>VLOOKUP(B37,基础数!$1:$1048576,15,FALSE)</f>
        <v>0.0169491525423729</v>
      </c>
      <c r="AE37" s="42">
        <f>MIN(2,IF(AB37&lt;'测算稿 '!AB$6*1.1,0,(AB37/'测算稿 '!AB$6-1.1)*10*0.4))+MIN(2,IF(AC37&lt;'测算稿 '!AC$6*1.1,0,(AC37/'测算稿 '!AC$6-1.1)*10*0.4))+MIN(2,IF(AD37&lt;'测算稿 '!AD$6*1.1,0,(AD37/'测算稿 '!AD$6-1.1)*10*0.4))</f>
        <v>4.83231628288388</v>
      </c>
    </row>
    <row r="38" s="28" customFormat="1" ht="15" customHeight="1" spans="1:31">
      <c r="A38" s="39">
        <f t="shared" si="0"/>
        <v>32</v>
      </c>
      <c r="B38" s="43" t="s">
        <v>28</v>
      </c>
      <c r="C38" s="36">
        <f t="shared" si="1"/>
        <v>62.3130547669953</v>
      </c>
      <c r="D38" s="41">
        <f>VLOOKUP(B38,基础数!$1:$1048576,2,FALSE)</f>
        <v>16.7683333333333</v>
      </c>
      <c r="E38" s="42">
        <f>IF(D38="-",9.6,MAX(MIN(IF(D38&gt;'测算稿 '!D$6,('测算稿 '!D$6-D38)*0.6+9.6,('测算稿 '!D$6-D38)*0.6+9.6),12),0))</f>
        <v>3.0361256438558</v>
      </c>
      <c r="F38" s="41">
        <f>VLOOKUP(B38,基础数!$1:$1048576,3,FALSE)</f>
        <v>237.738888888889</v>
      </c>
      <c r="G38" s="42">
        <f>IF(F38="-",6.4,MAX(MIN(IF(F38&gt;'测算稿 '!F$6,('测算稿 '!F$6-F38)*0.1+6.4,('测算稿 '!F$6-F38)*0.1+6.4),8),0))</f>
        <v>0</v>
      </c>
      <c r="H38" s="41">
        <f>VLOOKUP(B38,基础数!$1:$1048576,4,FALSE)</f>
        <v>13.4864864864865</v>
      </c>
      <c r="I38" s="42">
        <f>IF(H38="-",9.6,MAX(MIN(IF(H38&gt;'测算稿 '!H$6,('测算稿 '!H$6-H38)*0.3+9.6,('测算稿 '!H$6-H38)*0.6+9.6),12),0))</f>
        <v>10.3167256674389</v>
      </c>
      <c r="J38" s="41">
        <f>VLOOKUP(B38,基础数!$1:$1048576,5,FALSE)</f>
        <v>349.565476190476</v>
      </c>
      <c r="K38" s="42">
        <f>IF(J38="-",6.4,MAX(MIN(IF(J38&gt;'测算稿 '!J$6,('测算稿 '!J$6-J38)*0.1+6.4,('测算稿 '!J$6-J38)*0.2+6.4),8),0))</f>
        <v>0</v>
      </c>
      <c r="L38" s="41">
        <f>VLOOKUP(B38,基础数!$1:$1048576,6,FALSE)</f>
        <v>3.57142857142857</v>
      </c>
      <c r="M38" s="42">
        <f>IF(L38="-",4.8,MAX(MIN(IF(L38&gt;'测算稿 '!L$6,('测算稿 '!L$6-L38)*0.2+4.8,('测算稿 '!L$6-L38)*0.2+4.8),6),0))</f>
        <v>6</v>
      </c>
      <c r="N38" s="41">
        <f>VLOOKUP(B38,基础数!$1:$1048576,7,FALSE)</f>
        <v>26.2291666666667</v>
      </c>
      <c r="O38" s="42">
        <f>IF(N38="-",3.2,MAX(MIN(IF(N38&gt;'测算稿 '!N$6,('测算稿 '!N$6-N38)*0.05+3.2,('测算稿 '!N$6-N38)*0.05+3.2),4),0))</f>
        <v>4</v>
      </c>
      <c r="P38" s="41">
        <f>VLOOKUP(B38,基础数!$1:$1048576,8,FALSE)</f>
        <v>7.22222222222222</v>
      </c>
      <c r="Q38" s="42">
        <f>IF(P38="-",4.8,MAX(MIN(IF(P38&gt;'测算稿 '!P$6,('测算稿 '!P$6-P38)*0.2+4.8,('测算稿 '!P$6-P38)*0.2+4.8),6),0))</f>
        <v>6</v>
      </c>
      <c r="R38" s="48">
        <v>124.829487179487</v>
      </c>
      <c r="S38" s="42">
        <f>IF(R38="-",3.2,MAX(MIN(IF(R38&gt;'测算稿 '!R$6,('测算稿 '!R$6-R38)*0.05+3.2,('测算稿 '!R$6-R38)*0.05+3.2),4),0))</f>
        <v>3.2</v>
      </c>
      <c r="T38" s="50">
        <f>VLOOKUP(B38,基础数!$1:$1048576,10,FALSE)</f>
        <v>0.841463414634146</v>
      </c>
      <c r="U38" s="42">
        <f>IF(T38="-",8,IF(T38&lt;1,MAX(MIN(IF(T38&gt;'测算稿 '!T$6,(T38-'测算稿 '!T$6)*100*0.5+8,(T38-'测算稿 '!T$6)*100*0.2+8),10),0),10))</f>
        <v>6.29580929174042</v>
      </c>
      <c r="V38" s="50">
        <f>VLOOKUP(B38,基础数!$1:$1048576,11,FALSE)</f>
        <v>0.76271186440678</v>
      </c>
      <c r="W38" s="42">
        <f>IF(V38="-",8,IF(V38&lt;1,MAX(MIN(IF(V38&gt;'测算稿 '!V$6,(V38-'测算稿 '!V$6)*100*0.5+8,(V38-'测算稿 '!V$6)*100*0.2+8),10),0),10))</f>
        <v>5.65620813601078</v>
      </c>
      <c r="X38" s="50">
        <f>VLOOKUP(B38,基础数!$1:$1048576,12,FALSE)</f>
        <v>1.06140350877193</v>
      </c>
      <c r="Y38" s="42">
        <f>IF(X38='测算稿 '!X$6,8,IF(X38&lt;1,MAX(MIN(IF(X38&gt;'测算稿 '!X$6,(X38-'测算稿 '!X$6)*100*0.4+8,(X38-'测算稿 '!X$6)*100*0.2+8),10),0),10))</f>
        <v>10</v>
      </c>
      <c r="Z38" s="55">
        <v>0</v>
      </c>
      <c r="AA38" s="42">
        <f>MIN(MAX(IF(Z38=0,10,IF(Z38&lt;'测算稿 '!Z$6,8+('测算稿 '!Z$6-Z38)*2,8+('测算稿 '!Z$6-Z38)*0.4)),0),10)</f>
        <v>10</v>
      </c>
      <c r="AB38" s="50">
        <f>VLOOKUP(B38,基础数!$1:$1048576,13,FALSE)</f>
        <v>0.00843881856540085</v>
      </c>
      <c r="AC38" s="50">
        <f>VLOOKUP(B38,基础数!$1:$1048576,14,FALSE)</f>
        <v>0.451923076923077</v>
      </c>
      <c r="AD38" s="50">
        <f>VLOOKUP(B38,基础数!$1:$1048576,15,FALSE)</f>
        <v>0</v>
      </c>
      <c r="AE38" s="42">
        <f>MIN(2,IF(AB38&lt;'测算稿 '!AB$6*1.1,0,(AB38/'测算稿 '!AB$6-1.1)*10*0.4))+MIN(2,IF(AC38&lt;'测算稿 '!AC$6*1.1,0,(AC38/'测算稿 '!AC$6-1.1)*10*0.4))+MIN(2,IF(AD38&lt;'测算稿 '!AD$6*1.1,0,(AD38/'测算稿 '!AD$6-1.1)*10*0.4))</f>
        <v>2.19181397205065</v>
      </c>
    </row>
    <row r="39" s="28" customFormat="1" ht="15" customHeight="1" spans="1:31">
      <c r="A39" s="39">
        <f t="shared" si="0"/>
        <v>33</v>
      </c>
      <c r="B39" s="40" t="s">
        <v>82</v>
      </c>
      <c r="C39" s="36">
        <f t="shared" si="1"/>
        <v>62.2942382624625</v>
      </c>
      <c r="D39" s="41">
        <f>VLOOKUP(B39,基础数!$1:$1048576,2,FALSE)</f>
        <v>4.40833333333333</v>
      </c>
      <c r="E39" s="42">
        <f>IF(D39="-",9.6,MAX(MIN(IF(D39&gt;'测算稿 '!D$6,('测算稿 '!D$6-D39)*0.6+9.6,('测算稿 '!D$6-D39)*0.6+9.6),12),0))</f>
        <v>10.4521256438558</v>
      </c>
      <c r="F39" s="41">
        <f>VLOOKUP(B39,基础数!$1:$1048576,3,FALSE)</f>
        <v>455.875</v>
      </c>
      <c r="G39" s="42">
        <f>IF(F39="-",6.4,MAX(MIN(IF(F39&gt;'测算稿 '!F$6,('测算稿 '!F$6-F39)*0.1+6.4,('测算稿 '!F$6-F39)*0.1+6.4),8),0))</f>
        <v>0</v>
      </c>
      <c r="H39" s="41">
        <f>VLOOKUP(B39,基础数!$1:$1048576,4,FALSE)</f>
        <v>5.3</v>
      </c>
      <c r="I39" s="42">
        <f>IF(H39="-",9.6,MAX(MIN(IF(H39&gt;'测算稿 '!H$6,('测算稿 '!H$6-H39)*0.3+9.6,('测算稿 '!H$6-H39)*0.6+9.6),12),0))</f>
        <v>12</v>
      </c>
      <c r="J39" s="41">
        <f>VLOOKUP(B39,基础数!$1:$1048576,5,FALSE)</f>
        <v>156.444444444444</v>
      </c>
      <c r="K39" s="42">
        <f>IF(J39="-",6.4,MAX(MIN(IF(J39&gt;'测算稿 '!J$6,('测算稿 '!J$6-J39)*0.1+6.4,('测算稿 '!J$6-J39)*0.2+6.4),8),0))</f>
        <v>0</v>
      </c>
      <c r="L39" s="41">
        <f>VLOOKUP(B39,基础数!$1:$1048576,6,FALSE)</f>
        <v>4.68055555555556</v>
      </c>
      <c r="M39" s="42">
        <f>IF(L39="-",4.8,MAX(MIN(IF(L39&gt;'测算稿 '!L$6,('测算稿 '!L$6-L39)*0.2+4.8,('测算稿 '!L$6-L39)*0.2+4.8),6),0))</f>
        <v>5.94979787987593</v>
      </c>
      <c r="N39" s="41">
        <f>VLOOKUP(B39,基础数!$1:$1048576,7,FALSE)</f>
        <v>916.875</v>
      </c>
      <c r="O39" s="42">
        <f>IF(N39="-",3.2,MAX(MIN(IF(N39&gt;'测算稿 '!N$6,('测算稿 '!N$6-N39)*0.05+3.2,('测算稿 '!N$6-N39)*0.05+3.2),4),0))</f>
        <v>0</v>
      </c>
      <c r="P39" s="41">
        <f>VLOOKUP(B39,基础数!$1:$1048576,8,FALSE)</f>
        <v>2.97916666666667</v>
      </c>
      <c r="Q39" s="42">
        <f>IF(P39="-",4.8,MAX(MIN(IF(P39&gt;'测算稿 '!P$6,('测算稿 '!P$6-P39)*0.2+4.8,('测算稿 '!P$6-P39)*0.2+4.8),6),0))</f>
        <v>6</v>
      </c>
      <c r="R39" s="41">
        <f>VLOOKUP(B39,基础数!$1:$1048576,9,FALSE)</f>
        <v>398.520833333333</v>
      </c>
      <c r="S39" s="42">
        <f>IF(R39="-",3.2,MAX(MIN(IF(R39&gt;'测算稿 '!R$6,('测算稿 '!R$6-R39)*0.05+3.2,('测算稿 '!R$6-R39)*0.05+3.2),4),0))</f>
        <v>0</v>
      </c>
      <c r="T39" s="50">
        <f>VLOOKUP(B39,基础数!$1:$1048576,10,FALSE)</f>
        <v>0.785714285714286</v>
      </c>
      <c r="U39" s="42">
        <f>IF(T39="-",8,IF(T39&lt;1,MAX(MIN(IF(T39&gt;'测算稿 '!T$6,(T39-'测算稿 '!T$6)*100*0.5+8,(T39-'测算稿 '!T$6)*100*0.2+8),10),0),10))</f>
        <v>5.18082671334322</v>
      </c>
      <c r="V39" s="50">
        <f>VLOOKUP(B39,基础数!$1:$1048576,11,FALSE)</f>
        <v>0.705882352941177</v>
      </c>
      <c r="W39" s="42">
        <f>IF(V39="-",8,IF(V39&lt;1,MAX(MIN(IF(V39&gt;'测算稿 '!V$6,(V39-'测算稿 '!V$6)*100*0.5+8,(V39-'测算稿 '!V$6)*100*0.2+8),10),0),10))</f>
        <v>4.51961790669872</v>
      </c>
      <c r="X39" s="50">
        <f>VLOOKUP(B39,基础数!$1:$1048576,12,FALSE)</f>
        <v>0.956521739130435</v>
      </c>
      <c r="Y39" s="42">
        <f>IF(X39='测算稿 '!X$6,8,IF(X39&lt;1,MAX(MIN(IF(X39&gt;'测算稿 '!X$6,(X39-'测算稿 '!X$6)*100*0.4+8,(X39-'测算稿 '!X$6)*100*0.2+8),10),0),10))</f>
        <v>8.19187011868888</v>
      </c>
      <c r="Z39" s="55">
        <v>0</v>
      </c>
      <c r="AA39" s="42">
        <f>MIN(MAX(IF(Z39=0,10,IF(Z39&lt;'测算稿 '!Z$6,8+('测算稿 '!Z$6-Z39)*2,8+('测算稿 '!Z$6-Z39)*0.4)),0),10)</f>
        <v>10</v>
      </c>
      <c r="AB39" s="50">
        <f>VLOOKUP(B39,基础数!$1:$1048576,13,FALSE)</f>
        <v>0</v>
      </c>
      <c r="AC39" s="50">
        <f>VLOOKUP(B39,基础数!$1:$1048576,14,FALSE)</f>
        <v>0.258064516129032</v>
      </c>
      <c r="AD39" s="50">
        <f>VLOOKUP(B39,基础数!$1:$1048576,15,FALSE)</f>
        <v>0</v>
      </c>
      <c r="AE39" s="42">
        <f>MIN(2,IF(AB39&lt;'测算稿 '!AB$6*1.1,0,(AB39/'测算稿 '!AB$6-1.1)*10*0.4))+MIN(2,IF(AC39&lt;'测算稿 '!AC$6*1.1,0,(AC39/'测算稿 '!AC$6-1.1)*10*0.4))+MIN(2,IF(AD39&lt;'测算稿 '!AD$6*1.1,0,(AD39/'测算稿 '!AD$6-1.1)*10*0.4))</f>
        <v>0</v>
      </c>
    </row>
    <row r="40" s="28" customFormat="1" ht="15" customHeight="1" spans="1:31">
      <c r="A40" s="39">
        <f t="shared" si="0"/>
        <v>34</v>
      </c>
      <c r="B40" s="43" t="s">
        <v>141</v>
      </c>
      <c r="C40" s="36">
        <f t="shared" si="1"/>
        <v>50.8271812879647</v>
      </c>
      <c r="D40" s="41">
        <f>VLOOKUP(B40,基础数!$1:$1048576,2,FALSE)</f>
        <v>15.9901832460733</v>
      </c>
      <c r="E40" s="42">
        <f>IF(D40="-",9.6,MAX(MIN(IF(D40&gt;'测算稿 '!D$6,('测算稿 '!D$6-D40)*0.6+9.6,('测算稿 '!D$6-D40)*0.6+9.6),12),0))</f>
        <v>3.5030156962118</v>
      </c>
      <c r="F40" s="41">
        <f>VLOOKUP(B40,基础数!$1:$1048576,3,FALSE)</f>
        <v>100.772270114943</v>
      </c>
      <c r="G40" s="42">
        <f>IF(F40="-",6.4,MAX(MIN(IF(F40&gt;'测算稿 '!F$6,('测算稿 '!F$6-F40)*0.1+6.4,('测算稿 '!F$6-F40)*0.1+6.4),8),0))</f>
        <v>6.16406954068362</v>
      </c>
      <c r="H40" s="41">
        <f>VLOOKUP(B40,基础数!$1:$1048576,4,FALSE)</f>
        <v>27.1400793650794</v>
      </c>
      <c r="I40" s="42">
        <f>IF(H40="-",9.6,MAX(MIN(IF(H40&gt;'测算稿 '!H$6,('测算稿 '!H$6-H40)*0.3+9.6,('测算稿 '!H$6-H40)*0.6+9.6),12),0))</f>
        <v>5.8622849701416</v>
      </c>
      <c r="J40" s="41">
        <f>VLOOKUP(B40,基础数!$1:$1048576,5,FALSE)</f>
        <v>84.5902777777778</v>
      </c>
      <c r="K40" s="42">
        <f>IF(J40="-",6.4,MAX(MIN(IF(J40&gt;'测算稿 '!J$6,('测算稿 '!J$6-J40)*0.1+6.4,('测算稿 '!J$6-J40)*0.2+6.4),8),0))</f>
        <v>6.31582658636124</v>
      </c>
      <c r="L40" s="41">
        <f>VLOOKUP(B40,基础数!$1:$1048576,6,FALSE)</f>
        <v>37.2382246376812</v>
      </c>
      <c r="M40" s="42">
        <f>IF(L40="-",4.8,MAX(MIN(IF(L40&gt;'测算稿 '!L$6,('测算稿 '!L$6-L40)*0.2+4.8,('测算稿 '!L$6-L40)*0.2+4.8),6),0))</f>
        <v>0</v>
      </c>
      <c r="N40" s="41">
        <f>VLOOKUP(B40,基础数!$1:$1048576,7,FALSE)</f>
        <v>120.18137254902</v>
      </c>
      <c r="O40" s="42">
        <f>IF(N40="-",3.2,MAX(MIN(IF(N40&gt;'测算稿 '!N$6,('测算稿 '!N$6-N40)*0.05+3.2,('测算稿 '!N$6-N40)*0.05+3.2),4),0))</f>
        <v>2.8040219603466</v>
      </c>
      <c r="P40" s="41">
        <f>VLOOKUP(B40,基础数!$1:$1048576,8,FALSE)</f>
        <v>19.2442528735632</v>
      </c>
      <c r="Q40" s="42">
        <f>IF(P40="-",4.8,MAX(MIN(IF(P40&gt;'测算稿 '!P$6,('测算稿 '!P$6-P40)*0.2+4.8,('测算稿 '!P$6-P40)*0.2+4.8),6),0))</f>
        <v>5.4835293871525</v>
      </c>
      <c r="R40" s="41">
        <f>VLOOKUP(B40,基础数!$1:$1048576,9,FALSE)</f>
        <v>238.808333333333</v>
      </c>
      <c r="S40" s="42">
        <f>IF(R40="-",3.2,MAX(MIN(IF(R40&gt;'测算稿 '!R$6,('测算稿 '!R$6-R40)*0.05+3.2,('测算稿 '!R$6-R40)*0.05+3.2),4),0))</f>
        <v>0</v>
      </c>
      <c r="T40" s="50">
        <f>VLOOKUP(B40,基础数!$1:$1048576,10,FALSE)</f>
        <v>0.902173913043478</v>
      </c>
      <c r="U40" s="42">
        <f>IF(T40="-",8,IF(T40&lt;1,MAX(MIN(IF(T40&gt;'测算稿 '!T$6,(T40-'测算稿 '!T$6)*100*0.5+8,(T40-'测算稿 '!T$6)*100*0.2+8),10),0),10))</f>
        <v>7.51001925992706</v>
      </c>
      <c r="V40" s="50">
        <f>VLOOKUP(B40,基础数!$1:$1048576,11,FALSE)</f>
        <v>0.827102803738318</v>
      </c>
      <c r="W40" s="42">
        <f>IF(V40="-",8,IF(V40&lt;1,MAX(MIN(IF(V40&gt;'测算稿 '!V$6,(V40-'测算稿 '!V$6)*100*0.5+8,(V40-'测算稿 '!V$6)*100*0.2+8),10),0),10))</f>
        <v>6.94402692264154</v>
      </c>
      <c r="X40" s="50">
        <f>VLOOKUP(B40,基础数!$1:$1048576,12,FALSE)</f>
        <v>0.943025540275049</v>
      </c>
      <c r="Y40" s="42">
        <f>IF(X40='测算稿 '!X$6,8,IF(X40&lt;1,MAX(MIN(IF(X40&gt;'测算稿 '!X$6,(X40-'测算稿 '!X$6)*100*0.4+8,(X40-'测算稿 '!X$6)*100*0.2+8),10),0),10))</f>
        <v>7.82601108223672</v>
      </c>
      <c r="Z40" s="55">
        <v>16.7504177503936</v>
      </c>
      <c r="AA40" s="42">
        <f>MIN(MAX(IF(Z40=0,10,IF(Z40&lt;'测算稿 '!Z$6,8+('测算稿 '!Z$6-Z40)*2,8+('测算稿 '!Z$6-Z40)*0.4)),0),10)</f>
        <v>1.65841512982063</v>
      </c>
      <c r="AB40" s="50">
        <f>VLOOKUP(B40,基础数!$1:$1048576,13,FALSE)</f>
        <v>0.0204313280363224</v>
      </c>
      <c r="AC40" s="50">
        <f>VLOOKUP(B40,基础数!$1:$1048576,14,FALSE)</f>
        <v>0.355696202531646</v>
      </c>
      <c r="AD40" s="50">
        <f>VLOOKUP(B40,基础数!$1:$1048576,15,FALSE)</f>
        <v>0.00785854616895874</v>
      </c>
      <c r="AE40" s="42">
        <f>MIN(2,IF(AB40&lt;'测算稿 '!AB$6*1.1,0,(AB40/'测算稿 '!AB$6-1.1)*10*0.4))+MIN(2,IF(AC40&lt;'测算稿 '!AC$6*1.1,0,(AC40/'测算稿 '!AC$6-1.1)*10*0.4))+MIN(2,IF(AD40&lt;'测算稿 '!AD$6*1.1,0,(AD40/'测算稿 '!AD$6-1.1)*10*0.4))</f>
        <v>3.24403924755857</v>
      </c>
    </row>
  </sheetData>
  <sortState ref="A2:AE35">
    <sortCondition ref="C2" descending="1"/>
  </sortState>
  <mergeCells count="31">
    <mergeCell ref="A1:AE1"/>
    <mergeCell ref="D2:S2"/>
    <mergeCell ref="T2:Y2"/>
    <mergeCell ref="Z2:AA2"/>
    <mergeCell ref="AB2:AE2"/>
    <mergeCell ref="D3:K3"/>
    <mergeCell ref="L3:S3"/>
    <mergeCell ref="T3:W3"/>
    <mergeCell ref="X3:Y3"/>
    <mergeCell ref="Z3:AA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2:A6"/>
    <mergeCell ref="B2:B5"/>
    <mergeCell ref="C2:C5"/>
    <mergeCell ref="X4:X5"/>
    <mergeCell ref="Y4:Y5"/>
    <mergeCell ref="Z4:Z5"/>
    <mergeCell ref="AA4:AA5"/>
    <mergeCell ref="AB3:AB5"/>
    <mergeCell ref="AC3:AC5"/>
    <mergeCell ref="AD3:AD5"/>
    <mergeCell ref="AE3:AE5"/>
  </mergeCells>
  <pageMargins left="0.699305555555556" right="0.699305555555556" top="0.75" bottom="0.75" header="0.3" footer="0.3"/>
  <pageSetup paperSize="9" scale="4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workbookViewId="0">
      <selection activeCell="R15" sqref="R15"/>
    </sheetView>
  </sheetViews>
  <sheetFormatPr defaultColWidth="9" defaultRowHeight="14.25"/>
  <cols>
    <col min="1" max="1" width="10.2666666666667" style="5" customWidth="1"/>
    <col min="2" max="5" width="9.64166666666667" style="5" customWidth="1"/>
    <col min="6" max="9" width="9.64166666666667" style="1" customWidth="1"/>
    <col min="10" max="11" width="9.64166666666667" style="6" customWidth="1"/>
    <col min="12" max="15" width="10.6416666666667" style="1" customWidth="1"/>
    <col min="16" max="16384" width="9" style="1"/>
  </cols>
  <sheetData>
    <row r="1" s="1" customFormat="1" ht="22.5" spans="1:15">
      <c r="A1" s="7" t="s">
        <v>142</v>
      </c>
      <c r="B1" s="8"/>
      <c r="C1" s="8"/>
      <c r="D1" s="8"/>
      <c r="E1" s="8"/>
      <c r="F1" s="8"/>
      <c r="G1" s="8"/>
      <c r="H1" s="8"/>
      <c r="I1" s="8"/>
      <c r="J1" s="21"/>
      <c r="K1" s="21"/>
      <c r="L1" s="8"/>
      <c r="M1" s="8"/>
      <c r="N1" s="8"/>
      <c r="O1" s="22"/>
    </row>
    <row r="2" s="1" customFormat="1" spans="1:15">
      <c r="A2" s="9" t="s">
        <v>5</v>
      </c>
      <c r="B2" s="10" t="s">
        <v>143</v>
      </c>
      <c r="C2" s="10"/>
      <c r="D2" s="10"/>
      <c r="E2" s="10"/>
      <c r="F2" s="10" t="s">
        <v>144</v>
      </c>
      <c r="G2" s="10"/>
      <c r="H2" s="10"/>
      <c r="I2" s="10"/>
      <c r="J2" s="23" t="s">
        <v>145</v>
      </c>
      <c r="K2" s="23"/>
      <c r="L2" s="10" t="s">
        <v>146</v>
      </c>
      <c r="M2" s="24" t="s">
        <v>105</v>
      </c>
      <c r="N2" s="24" t="s">
        <v>106</v>
      </c>
      <c r="O2" s="24" t="s">
        <v>107</v>
      </c>
    </row>
    <row r="3" s="1" customFormat="1" ht="28.5" spans="1:15">
      <c r="A3" s="9"/>
      <c r="B3" s="11" t="s">
        <v>147</v>
      </c>
      <c r="C3" s="11" t="s">
        <v>148</v>
      </c>
      <c r="D3" s="12" t="s">
        <v>149</v>
      </c>
      <c r="E3" s="11" t="s">
        <v>150</v>
      </c>
      <c r="F3" s="12" t="s">
        <v>147</v>
      </c>
      <c r="G3" s="12" t="s">
        <v>148</v>
      </c>
      <c r="H3" s="11" t="s">
        <v>149</v>
      </c>
      <c r="I3" s="11" t="s">
        <v>150</v>
      </c>
      <c r="J3" s="25" t="s">
        <v>113</v>
      </c>
      <c r="K3" s="25" t="s">
        <v>114</v>
      </c>
      <c r="L3" s="10"/>
      <c r="M3" s="24"/>
      <c r="N3" s="24"/>
      <c r="O3" s="24"/>
    </row>
    <row r="4" s="2" customFormat="1" spans="1:15">
      <c r="A4" s="13" t="s">
        <v>151</v>
      </c>
      <c r="B4" s="14">
        <v>5.82854273975963</v>
      </c>
      <c r="C4" s="14">
        <v>98.4129655217792</v>
      </c>
      <c r="D4" s="14">
        <v>14.6810292655514</v>
      </c>
      <c r="E4" s="14">
        <v>83.7485436413902</v>
      </c>
      <c r="F4" s="15">
        <v>10.4295449549352</v>
      </c>
      <c r="G4" s="15">
        <v>112.261811755952</v>
      </c>
      <c r="H4" s="16">
        <v>22.6618998093257</v>
      </c>
      <c r="I4" s="16">
        <v>124.829487179487</v>
      </c>
      <c r="J4" s="26">
        <v>0.926672950047125</v>
      </c>
      <c r="K4" s="26">
        <v>0.879901457606241</v>
      </c>
      <c r="L4" s="26">
        <v>0.951724986163213</v>
      </c>
      <c r="M4" s="26">
        <v>0.00656791779254851</v>
      </c>
      <c r="N4" s="26">
        <v>0.308880719127866</v>
      </c>
      <c r="O4" s="26">
        <v>0.00578070229383187</v>
      </c>
    </row>
    <row r="5" s="3" customFormat="1" spans="1:15">
      <c r="A5" s="17" t="s">
        <v>136</v>
      </c>
      <c r="B5" s="18">
        <v>4.3578431372549</v>
      </c>
      <c r="C5" s="18">
        <v>139.107142857143</v>
      </c>
      <c r="D5" s="18">
        <v>43.6847345132743</v>
      </c>
      <c r="E5" s="18">
        <v>212.303921568627</v>
      </c>
      <c r="F5" s="19">
        <v>3.68114657210402</v>
      </c>
      <c r="G5" s="19">
        <v>56.8467261904762</v>
      </c>
      <c r="H5" s="20">
        <v>5.44191919191919</v>
      </c>
      <c r="I5" s="20">
        <v>182.200520833333</v>
      </c>
      <c r="J5" s="27">
        <v>1.03924914675768</v>
      </c>
      <c r="K5" s="27">
        <v>1.28176795580111</v>
      </c>
      <c r="L5" s="27">
        <v>0.985731272294887</v>
      </c>
      <c r="M5" s="27">
        <v>0.00366032210834555</v>
      </c>
      <c r="N5" s="27">
        <v>0.413937282229965</v>
      </c>
      <c r="O5" s="27">
        <v>0.00475624256837099</v>
      </c>
    </row>
    <row r="6" s="1" customFormat="1" spans="1:15">
      <c r="A6" s="17" t="s">
        <v>139</v>
      </c>
      <c r="B6" s="18">
        <v>6.92741090146751</v>
      </c>
      <c r="C6" s="18">
        <v>117.575</v>
      </c>
      <c r="D6" s="18">
        <v>21.057123655914</v>
      </c>
      <c r="E6" s="18">
        <v>245.241666666667</v>
      </c>
      <c r="F6" s="19">
        <v>15.1266762452107</v>
      </c>
      <c r="G6" s="19">
        <v>227.950980392157</v>
      </c>
      <c r="H6" s="20">
        <v>22.6065891472868</v>
      </c>
      <c r="I6" s="20">
        <v>295.462837837838</v>
      </c>
      <c r="J6" s="27">
        <v>1.01970443349754</v>
      </c>
      <c r="K6" s="27">
        <v>1.03870967741936</v>
      </c>
      <c r="L6" s="27">
        <v>0.980869565217391</v>
      </c>
      <c r="M6" s="27">
        <v>0.0369047619047619</v>
      </c>
      <c r="N6" s="27">
        <v>0.301336573511543</v>
      </c>
      <c r="O6" s="27">
        <v>0.00869565217391304</v>
      </c>
    </row>
    <row r="7" s="1" customFormat="1" spans="1:15">
      <c r="A7" s="17" t="s">
        <v>22</v>
      </c>
      <c r="B7" s="18">
        <v>7.29723225030084</v>
      </c>
      <c r="C7" s="18">
        <v>98.9226190476191</v>
      </c>
      <c r="D7" s="18">
        <v>24.9933920704846</v>
      </c>
      <c r="E7" s="18">
        <v>139.159552845528</v>
      </c>
      <c r="F7" s="19">
        <v>4.91629464285714</v>
      </c>
      <c r="G7" s="19">
        <v>107.237847222222</v>
      </c>
      <c r="H7" s="20">
        <v>12.4963768115942</v>
      </c>
      <c r="I7" s="20">
        <v>80.0476190476191</v>
      </c>
      <c r="J7" s="27">
        <v>0.962790697674419</v>
      </c>
      <c r="K7" s="27">
        <v>0.901587301587302</v>
      </c>
      <c r="L7" s="27">
        <v>1.02697841726619</v>
      </c>
      <c r="M7" s="27">
        <v>0</v>
      </c>
      <c r="N7" s="27">
        <v>0.427689140504375</v>
      </c>
      <c r="O7" s="27">
        <v>0.0269784172661871</v>
      </c>
    </row>
    <row r="8" s="1" customFormat="1" spans="1:15">
      <c r="A8" s="17" t="s">
        <v>125</v>
      </c>
      <c r="B8" s="18">
        <v>4.25721153846154</v>
      </c>
      <c r="C8" s="18">
        <v>104.065476190476</v>
      </c>
      <c r="D8" s="18">
        <v>3.22916666666667</v>
      </c>
      <c r="E8" s="18">
        <v>38.8229166666667</v>
      </c>
      <c r="F8" s="19">
        <v>7.95528455284553</v>
      </c>
      <c r="G8" s="19">
        <v>199.336538461538</v>
      </c>
      <c r="H8" s="20">
        <v>54.8049242424242</v>
      </c>
      <c r="I8" s="20">
        <v>141.138888888889</v>
      </c>
      <c r="J8" s="27">
        <v>1.1214953271028</v>
      </c>
      <c r="K8" s="27">
        <v>1.22857142857143</v>
      </c>
      <c r="L8" s="27">
        <v>0.969325153374233</v>
      </c>
      <c r="M8" s="27">
        <v>0</v>
      </c>
      <c r="N8" s="27">
        <v>0.380228136882129</v>
      </c>
      <c r="O8" s="27">
        <v>0</v>
      </c>
    </row>
    <row r="9" s="1" customFormat="1" spans="1:15">
      <c r="A9" s="17" t="s">
        <v>131</v>
      </c>
      <c r="B9" s="18">
        <v>3.38240740740741</v>
      </c>
      <c r="C9" s="18">
        <v>112.499556737589</v>
      </c>
      <c r="D9" s="18">
        <v>16.9574795081967</v>
      </c>
      <c r="E9" s="18">
        <v>115.609722222222</v>
      </c>
      <c r="F9" s="19">
        <v>26.0375412541254</v>
      </c>
      <c r="G9" s="19">
        <v>173.715277777778</v>
      </c>
      <c r="H9" s="20">
        <v>38.3950320512821</v>
      </c>
      <c r="I9" s="20">
        <v>95.7319444444444</v>
      </c>
      <c r="J9" s="27">
        <v>1.02480916030534</v>
      </c>
      <c r="K9" s="27">
        <v>1.03703703703704</v>
      </c>
      <c r="L9" s="27">
        <v>0.990312163616792</v>
      </c>
      <c r="M9" s="27">
        <v>0</v>
      </c>
      <c r="N9" s="27">
        <v>0.158514492753623</v>
      </c>
      <c r="O9" s="27">
        <v>0.00215285252960172</v>
      </c>
    </row>
    <row r="10" s="1" customFormat="1" spans="1:15">
      <c r="A10" s="17" t="s">
        <v>132</v>
      </c>
      <c r="B10" s="18">
        <v>2.50133547008547</v>
      </c>
      <c r="C10" s="18">
        <v>122.443548387097</v>
      </c>
      <c r="D10" s="18">
        <v>18.5770440251572</v>
      </c>
      <c r="E10" s="18">
        <v>116.919444444444</v>
      </c>
      <c r="F10" s="19">
        <v>8.96875</v>
      </c>
      <c r="G10" s="19">
        <v>30.625</v>
      </c>
      <c r="H10" s="20">
        <v>2.51041666666667</v>
      </c>
      <c r="I10" s="20">
        <v>12.9583333333333</v>
      </c>
      <c r="J10" s="27">
        <v>0.806818181818182</v>
      </c>
      <c r="K10" s="27">
        <v>0.654867256637168</v>
      </c>
      <c r="L10" s="27">
        <v>0.982578397212544</v>
      </c>
      <c r="M10" s="27">
        <v>0.00563909774436089</v>
      </c>
      <c r="N10" s="27">
        <v>0.34624145785877</v>
      </c>
      <c r="O10" s="27">
        <v>0.0139372822299652</v>
      </c>
    </row>
    <row r="11" s="1" customFormat="1" spans="1:15">
      <c r="A11" s="17" t="s">
        <v>28</v>
      </c>
      <c r="B11" s="18">
        <v>16.7683333333333</v>
      </c>
      <c r="C11" s="18">
        <v>237.738888888889</v>
      </c>
      <c r="D11" s="18">
        <v>13.4864864864865</v>
      </c>
      <c r="E11" s="18">
        <v>349.565476190476</v>
      </c>
      <c r="F11" s="19">
        <v>3.57142857142857</v>
      </c>
      <c r="G11" s="19">
        <v>26.2291666666667</v>
      </c>
      <c r="H11" s="20">
        <v>7.22222222222222</v>
      </c>
      <c r="I11" s="20" t="e">
        <v>#DIV/0!</v>
      </c>
      <c r="J11" s="27">
        <v>0.841463414634146</v>
      </c>
      <c r="K11" s="27">
        <v>0.76271186440678</v>
      </c>
      <c r="L11" s="27">
        <v>1.06140350877193</v>
      </c>
      <c r="M11" s="27">
        <v>0.00843881856540085</v>
      </c>
      <c r="N11" s="27">
        <v>0.451923076923077</v>
      </c>
      <c r="O11" s="27">
        <v>0</v>
      </c>
    </row>
    <row r="12" s="1" customFormat="1" spans="1:15">
      <c r="A12" s="17" t="s">
        <v>140</v>
      </c>
      <c r="B12" s="18">
        <v>31.84375</v>
      </c>
      <c r="C12" s="18">
        <v>55.0729166666667</v>
      </c>
      <c r="D12" s="18">
        <v>133.113888888889</v>
      </c>
      <c r="E12" s="18" t="e">
        <v>#DIV/0!</v>
      </c>
      <c r="F12" s="19">
        <v>28.84375</v>
      </c>
      <c r="G12" s="19">
        <v>29.7083333333333</v>
      </c>
      <c r="H12" s="20">
        <v>17.3541666666667</v>
      </c>
      <c r="I12" s="20">
        <v>99.0208333333333</v>
      </c>
      <c r="J12" s="27">
        <v>0.918367346938776</v>
      </c>
      <c r="K12" s="27">
        <v>0.869565217391304</v>
      </c>
      <c r="L12" s="27">
        <v>1</v>
      </c>
      <c r="M12" s="27">
        <v>0</v>
      </c>
      <c r="N12" s="27">
        <v>0.419642857142857</v>
      </c>
      <c r="O12" s="27">
        <v>0</v>
      </c>
    </row>
    <row r="13" s="1" customFormat="1" spans="1:15">
      <c r="A13" s="17" t="s">
        <v>32</v>
      </c>
      <c r="B13" s="18">
        <v>4.22879464285714</v>
      </c>
      <c r="C13" s="18">
        <v>87.2407407407408</v>
      </c>
      <c r="D13" s="18">
        <v>30.1041666666667</v>
      </c>
      <c r="E13" s="18">
        <v>270.652777777778</v>
      </c>
      <c r="F13" s="19">
        <v>11.3932926829268</v>
      </c>
      <c r="G13" s="19">
        <v>127.506720430108</v>
      </c>
      <c r="H13" s="20">
        <v>19.2741228070175</v>
      </c>
      <c r="I13" s="20">
        <v>261.777777777778</v>
      </c>
      <c r="J13" s="27">
        <v>0.892307692307692</v>
      </c>
      <c r="K13" s="27">
        <v>1.09677419354839</v>
      </c>
      <c r="L13" s="27">
        <v>1.01234567901235</v>
      </c>
      <c r="M13" s="27">
        <v>0.00208333333333333</v>
      </c>
      <c r="N13" s="27">
        <v>0.275167785234899</v>
      </c>
      <c r="O13" s="27">
        <v>0.00308641975308642</v>
      </c>
    </row>
    <row r="14" s="1" customFormat="1" spans="1:15">
      <c r="A14" s="17" t="s">
        <v>34</v>
      </c>
      <c r="B14" s="18">
        <v>4.22698643410853</v>
      </c>
      <c r="C14" s="18">
        <v>81.1637931034483</v>
      </c>
      <c r="D14" s="18">
        <v>9.4062015503876</v>
      </c>
      <c r="E14" s="18">
        <v>48.6002109704641</v>
      </c>
      <c r="F14" s="19">
        <v>4.55111111111111</v>
      </c>
      <c r="G14" s="19">
        <v>139.784027777778</v>
      </c>
      <c r="H14" s="20">
        <v>11.4465811965812</v>
      </c>
      <c r="I14" s="20">
        <v>81.4754464285714</v>
      </c>
      <c r="J14" s="27">
        <v>0.944146901300689</v>
      </c>
      <c r="K14" s="27">
        <v>0.941901408450704</v>
      </c>
      <c r="L14" s="27">
        <v>0.958333333333333</v>
      </c>
      <c r="M14" s="27">
        <v>0.00057355893318034</v>
      </c>
      <c r="N14" s="27">
        <v>0.311416616855947</v>
      </c>
      <c r="O14" s="27">
        <v>0</v>
      </c>
    </row>
    <row r="15" s="1" customFormat="1" spans="1:15">
      <c r="A15" s="17" t="s">
        <v>133</v>
      </c>
      <c r="B15" s="18" t="e">
        <v>#DIV/0!</v>
      </c>
      <c r="C15" s="18" t="e">
        <v>#DIV/0!</v>
      </c>
      <c r="D15" s="18" t="e">
        <v>#DIV/0!</v>
      </c>
      <c r="E15" s="18" t="e">
        <v>#DIV/0!</v>
      </c>
      <c r="F15" s="19">
        <v>35.897619047619</v>
      </c>
      <c r="G15" s="19">
        <v>124.196428571429</v>
      </c>
      <c r="H15" s="20">
        <v>54.6934523809524</v>
      </c>
      <c r="I15" s="20">
        <v>145</v>
      </c>
      <c r="J15" s="27">
        <v>0.933333333333333</v>
      </c>
      <c r="K15" s="27">
        <v>1</v>
      </c>
      <c r="L15" s="27">
        <v>0.984375</v>
      </c>
      <c r="M15" s="27">
        <v>0</v>
      </c>
      <c r="N15" s="27">
        <v>0.428571428571429</v>
      </c>
      <c r="O15" s="27">
        <v>0.03125</v>
      </c>
    </row>
    <row r="16" s="1" customFormat="1" spans="1:15">
      <c r="A16" s="17" t="s">
        <v>119</v>
      </c>
      <c r="B16" s="18">
        <v>3.89088541666667</v>
      </c>
      <c r="C16" s="18">
        <v>96.4542682926829</v>
      </c>
      <c r="D16" s="18">
        <v>14.125</v>
      </c>
      <c r="E16" s="18">
        <v>85.0416666666667</v>
      </c>
      <c r="F16" s="19">
        <v>17.0907738095238</v>
      </c>
      <c r="G16" s="19">
        <v>30.9464285714286</v>
      </c>
      <c r="H16" s="20">
        <v>12.0654761904762</v>
      </c>
      <c r="I16" s="20">
        <v>53.0087719298246</v>
      </c>
      <c r="J16" s="27">
        <v>1.00387596899225</v>
      </c>
      <c r="K16" s="27">
        <v>1.01176470588235</v>
      </c>
      <c r="L16" s="27">
        <v>1.02898550724638</v>
      </c>
      <c r="M16" s="27">
        <v>0</v>
      </c>
      <c r="N16" s="27">
        <v>0.388297872340426</v>
      </c>
      <c r="O16" s="27">
        <v>0.00869565217391304</v>
      </c>
    </row>
    <row r="17" s="1" customFormat="1" spans="1:15">
      <c r="A17" s="17" t="s">
        <v>130</v>
      </c>
      <c r="B17" s="18">
        <v>2.58394097222222</v>
      </c>
      <c r="C17" s="18">
        <v>128.776348039216</v>
      </c>
      <c r="D17" s="18">
        <v>21.2312703583062</v>
      </c>
      <c r="E17" s="18">
        <v>146.51575203252</v>
      </c>
      <c r="F17" s="19">
        <v>3.92548076923077</v>
      </c>
      <c r="G17" s="19">
        <v>143.18125</v>
      </c>
      <c r="H17" s="20">
        <v>8.32333333333333</v>
      </c>
      <c r="I17" s="20">
        <v>119.654166666667</v>
      </c>
      <c r="J17" s="27">
        <v>0.945362134688691</v>
      </c>
      <c r="K17" s="27">
        <v>0.91220556745182</v>
      </c>
      <c r="L17" s="27">
        <v>0.994871794871795</v>
      </c>
      <c r="M17" s="27">
        <v>0.00273822562979187</v>
      </c>
      <c r="N17" s="27">
        <v>0.326424870466321</v>
      </c>
      <c r="O17" s="27">
        <v>0.0102564102564103</v>
      </c>
    </row>
    <row r="18" s="1" customFormat="1" spans="1:15">
      <c r="A18" s="17" t="s">
        <v>129</v>
      </c>
      <c r="B18" s="18">
        <v>4.93407172995781</v>
      </c>
      <c r="C18" s="18">
        <v>99.59375</v>
      </c>
      <c r="D18" s="18">
        <v>8.45963541666667</v>
      </c>
      <c r="E18" s="18">
        <v>79.4345238095238</v>
      </c>
      <c r="F18" s="19">
        <v>6.325</v>
      </c>
      <c r="G18" s="19">
        <v>347.916666666667</v>
      </c>
      <c r="H18" s="20">
        <v>1.08333333333333</v>
      </c>
      <c r="I18" s="20">
        <v>186.104166666667</v>
      </c>
      <c r="J18" s="27">
        <v>0.927272727272727</v>
      </c>
      <c r="K18" s="27">
        <v>0.790322580645161</v>
      </c>
      <c r="L18" s="27">
        <v>0.993377483443709</v>
      </c>
      <c r="M18" s="27">
        <v>0</v>
      </c>
      <c r="N18" s="27">
        <v>0.0903614457831325</v>
      </c>
      <c r="O18" s="27">
        <v>0.0198675496688742</v>
      </c>
    </row>
    <row r="19" s="1" customFormat="1" spans="1:15">
      <c r="A19" s="17" t="s">
        <v>42</v>
      </c>
      <c r="B19" s="18">
        <v>4.29472222222222</v>
      </c>
      <c r="C19" s="18">
        <v>96.3237847222222</v>
      </c>
      <c r="D19" s="18">
        <v>6.85416666666667</v>
      </c>
      <c r="E19" s="18">
        <v>140.510416666667</v>
      </c>
      <c r="F19" s="19">
        <v>5.87771739130435</v>
      </c>
      <c r="G19" s="19">
        <v>50.5138888888889</v>
      </c>
      <c r="H19" s="20">
        <v>13.8819444444444</v>
      </c>
      <c r="I19" s="20">
        <v>137.791666666667</v>
      </c>
      <c r="J19" s="27">
        <v>0.824074074074074</v>
      </c>
      <c r="K19" s="27">
        <v>0.702702702702703</v>
      </c>
      <c r="L19" s="27">
        <v>0.95221843003413</v>
      </c>
      <c r="M19" s="27">
        <v>0.133771929824561</v>
      </c>
      <c r="N19" s="27">
        <v>0.103975535168196</v>
      </c>
      <c r="O19" s="27">
        <v>0.0102389078498294</v>
      </c>
    </row>
    <row r="20" s="1" customFormat="1" spans="1:15">
      <c r="A20" s="17" t="s">
        <v>134</v>
      </c>
      <c r="B20" s="18">
        <v>8.44575055187638</v>
      </c>
      <c r="C20" s="18">
        <v>125.012609649123</v>
      </c>
      <c r="D20" s="18">
        <v>15.1556570625439</v>
      </c>
      <c r="E20" s="18">
        <v>90.8465632603406</v>
      </c>
      <c r="F20" s="19">
        <v>16.8202716823407</v>
      </c>
      <c r="G20" s="19">
        <v>112.414239482201</v>
      </c>
      <c r="H20" s="20">
        <v>32.5421831955923</v>
      </c>
      <c r="I20" s="20">
        <v>123.594850948509</v>
      </c>
      <c r="J20" s="27">
        <v>0.857233502538071</v>
      </c>
      <c r="K20" s="27">
        <v>0.790757855822551</v>
      </c>
      <c r="L20" s="27">
        <v>0.953728568477587</v>
      </c>
      <c r="M20" s="27">
        <v>0.0014658848614072</v>
      </c>
      <c r="N20" s="27">
        <v>0.252586073799599</v>
      </c>
      <c r="O20" s="27">
        <v>0.0076430489568271</v>
      </c>
    </row>
    <row r="21" s="1" customFormat="1" spans="1:15">
      <c r="A21" s="17" t="s">
        <v>48</v>
      </c>
      <c r="B21" s="18">
        <v>5.11152115844229</v>
      </c>
      <c r="C21" s="18">
        <v>57.8408183632735</v>
      </c>
      <c r="D21" s="18">
        <v>9.52731802811888</v>
      </c>
      <c r="E21" s="18">
        <v>50.8827331486611</v>
      </c>
      <c r="F21" s="19">
        <v>10.2109199700823</v>
      </c>
      <c r="G21" s="19">
        <v>71.7191734417344</v>
      </c>
      <c r="H21" s="20">
        <v>21.0754032258065</v>
      </c>
      <c r="I21" s="20">
        <v>100.724747474747</v>
      </c>
      <c r="J21" s="27">
        <v>0.958975346687211</v>
      </c>
      <c r="K21" s="27">
        <v>0.914102564102564</v>
      </c>
      <c r="L21" s="27">
        <v>0.878628277153558</v>
      </c>
      <c r="M21" s="27">
        <v>0.00407800103803668</v>
      </c>
      <c r="N21" s="27">
        <v>0.336851909344924</v>
      </c>
      <c r="O21" s="27">
        <v>0.000468164794007491</v>
      </c>
    </row>
    <row r="22" s="1" customFormat="1" spans="1:15">
      <c r="A22" s="17" t="s">
        <v>50</v>
      </c>
      <c r="B22" s="18">
        <v>3.93812189054726</v>
      </c>
      <c r="C22" s="18">
        <v>128.09188034188</v>
      </c>
      <c r="D22" s="18">
        <v>10.4047619047619</v>
      </c>
      <c r="E22" s="18">
        <v>92.1909722222222</v>
      </c>
      <c r="F22" s="19">
        <v>6.01438492063492</v>
      </c>
      <c r="G22" s="19">
        <v>87.1166666666667</v>
      </c>
      <c r="H22" s="20">
        <v>14.6222222222222</v>
      </c>
      <c r="I22" s="20">
        <v>170.860119047619</v>
      </c>
      <c r="J22" s="27">
        <v>0.925081433224756</v>
      </c>
      <c r="K22" s="27">
        <v>0.86697247706422</v>
      </c>
      <c r="L22" s="27">
        <v>0.972515856236787</v>
      </c>
      <c r="M22" s="27">
        <v>0.00648508430609596</v>
      </c>
      <c r="N22" s="27">
        <v>0.337535014005602</v>
      </c>
      <c r="O22" s="27">
        <v>0.0147991543340381</v>
      </c>
    </row>
    <row r="23" s="1" customFormat="1" spans="1:15">
      <c r="A23" s="17" t="s">
        <v>123</v>
      </c>
      <c r="B23" s="18">
        <v>4.12009803921569</v>
      </c>
      <c r="C23" s="18">
        <v>94.209649122807</v>
      </c>
      <c r="D23" s="18">
        <v>12.0375551544324</v>
      </c>
      <c r="E23" s="18">
        <v>53.0402046783626</v>
      </c>
      <c r="F23" s="19">
        <v>7.67921313506815</v>
      </c>
      <c r="G23" s="19">
        <v>88.4243421052632</v>
      </c>
      <c r="H23" s="20">
        <v>39.9996843434343</v>
      </c>
      <c r="I23" s="20">
        <v>119.235294117647</v>
      </c>
      <c r="J23" s="27">
        <v>0.872619047619048</v>
      </c>
      <c r="K23" s="27">
        <v>0.815415821501014</v>
      </c>
      <c r="L23" s="27">
        <v>0.998502994011976</v>
      </c>
      <c r="M23" s="27">
        <v>0</v>
      </c>
      <c r="N23" s="27">
        <v>0.315749039692702</v>
      </c>
      <c r="O23" s="27">
        <v>0.00673652694610779</v>
      </c>
    </row>
    <row r="24" s="1" customFormat="1" spans="1:15">
      <c r="A24" s="17" t="s">
        <v>152</v>
      </c>
      <c r="B24" s="18">
        <v>7.23272357723577</v>
      </c>
      <c r="C24" s="18">
        <v>90.2017543859649</v>
      </c>
      <c r="D24" s="18">
        <v>20.962962962963</v>
      </c>
      <c r="E24" s="18" t="e">
        <v>#DIV/0!</v>
      </c>
      <c r="F24" s="19">
        <v>8.1625</v>
      </c>
      <c r="G24" s="19">
        <v>75.125</v>
      </c>
      <c r="H24" s="20">
        <v>5.6875</v>
      </c>
      <c r="I24" s="20">
        <v>22.25</v>
      </c>
      <c r="J24" s="27">
        <v>0.821428571428571</v>
      </c>
      <c r="K24" s="27">
        <v>0.764705882352941</v>
      </c>
      <c r="L24" s="27">
        <v>0.984375</v>
      </c>
      <c r="M24" s="27">
        <v>0</v>
      </c>
      <c r="N24" s="27">
        <v>0.315508021390374</v>
      </c>
      <c r="O24" s="27">
        <v>0</v>
      </c>
    </row>
    <row r="25" s="1" customFormat="1" spans="1:15">
      <c r="A25" s="17" t="s">
        <v>124</v>
      </c>
      <c r="B25" s="18">
        <v>4.44136726546906</v>
      </c>
      <c r="C25" s="18">
        <v>88.0732323232323</v>
      </c>
      <c r="D25" s="18">
        <v>27.1464354527938</v>
      </c>
      <c r="E25" s="18">
        <v>100.770325203252</v>
      </c>
      <c r="F25" s="19">
        <v>2.38095238095238</v>
      </c>
      <c r="G25" s="19">
        <v>126.671296296296</v>
      </c>
      <c r="H25" s="20">
        <v>4.27696078431373</v>
      </c>
      <c r="I25" s="20">
        <v>27.6805555555556</v>
      </c>
      <c r="J25" s="27">
        <v>0.958254269449715</v>
      </c>
      <c r="K25" s="27">
        <v>0.9375</v>
      </c>
      <c r="L25" s="27">
        <v>0.967105263157895</v>
      </c>
      <c r="M25" s="27">
        <v>0.0136986301369864</v>
      </c>
      <c r="N25" s="27">
        <v>0.0787878787878788</v>
      </c>
      <c r="O25" s="27">
        <v>0.00394736842105263</v>
      </c>
    </row>
    <row r="26" s="1" customFormat="1" spans="1:15">
      <c r="A26" s="17" t="s">
        <v>122</v>
      </c>
      <c r="B26" s="18">
        <v>5.37528935185185</v>
      </c>
      <c r="C26" s="18">
        <v>107.227777777778</v>
      </c>
      <c r="D26" s="18">
        <v>17.434811827957</v>
      </c>
      <c r="E26" s="18">
        <v>93.4976851851852</v>
      </c>
      <c r="F26" s="19">
        <v>6.40191740412979</v>
      </c>
      <c r="G26" s="19">
        <v>91.6666666666667</v>
      </c>
      <c r="H26" s="20">
        <v>10.6533018867925</v>
      </c>
      <c r="I26" s="20">
        <v>106.315</v>
      </c>
      <c r="J26" s="27">
        <v>0.973913043478261</v>
      </c>
      <c r="K26" s="27">
        <v>0.898477157360406</v>
      </c>
      <c r="L26" s="27">
        <v>0.947368421052632</v>
      </c>
      <c r="M26" s="27">
        <v>0.0414364640883977</v>
      </c>
      <c r="N26" s="27">
        <v>0.228571428571429</v>
      </c>
      <c r="O26" s="27">
        <v>0</v>
      </c>
    </row>
    <row r="27" s="1" customFormat="1" spans="1:15">
      <c r="A27" s="17" t="s">
        <v>141</v>
      </c>
      <c r="B27" s="18">
        <v>15.9901832460733</v>
      </c>
      <c r="C27" s="18">
        <v>100.772270114943</v>
      </c>
      <c r="D27" s="18">
        <v>27.1400793650794</v>
      </c>
      <c r="E27" s="18">
        <v>84.5902777777778</v>
      </c>
      <c r="F27" s="19">
        <v>37.2382246376812</v>
      </c>
      <c r="G27" s="19">
        <v>120.18137254902</v>
      </c>
      <c r="H27" s="20">
        <v>19.2442528735632</v>
      </c>
      <c r="I27" s="20">
        <v>238.808333333333</v>
      </c>
      <c r="J27" s="27">
        <v>0.902173913043478</v>
      </c>
      <c r="K27" s="27">
        <v>0.827102803738318</v>
      </c>
      <c r="L27" s="27">
        <v>0.943025540275049</v>
      </c>
      <c r="M27" s="27">
        <v>0.0204313280363224</v>
      </c>
      <c r="N27" s="27">
        <v>0.355696202531646</v>
      </c>
      <c r="O27" s="27">
        <v>0.00785854616895874</v>
      </c>
    </row>
    <row r="28" s="1" customFormat="1" spans="1:15">
      <c r="A28" s="17" t="s">
        <v>127</v>
      </c>
      <c r="B28" s="18">
        <v>6.63087828492393</v>
      </c>
      <c r="C28" s="18">
        <v>106.382716049383</v>
      </c>
      <c r="D28" s="18">
        <v>12.7277594728171</v>
      </c>
      <c r="E28" s="18">
        <v>73.7238023952096</v>
      </c>
      <c r="F28" s="19">
        <v>7.60323886639676</v>
      </c>
      <c r="G28" s="19">
        <v>156.223214285714</v>
      </c>
      <c r="H28" s="20">
        <v>16.7168715846995</v>
      </c>
      <c r="I28" s="20">
        <v>139.157852564103</v>
      </c>
      <c r="J28" s="27">
        <v>0.919106317411402</v>
      </c>
      <c r="K28" s="27">
        <v>0.899906454630496</v>
      </c>
      <c r="L28" s="27">
        <v>0.991183294663573</v>
      </c>
      <c r="M28" s="27">
        <v>0.00925640234495528</v>
      </c>
      <c r="N28" s="27">
        <v>0.281427142380794</v>
      </c>
      <c r="O28" s="27">
        <v>0.00881670533642691</v>
      </c>
    </row>
    <row r="29" s="1" customFormat="1" spans="1:15">
      <c r="A29" s="17" t="s">
        <v>126</v>
      </c>
      <c r="B29" s="18">
        <v>12.47</v>
      </c>
      <c r="C29" s="18">
        <v>119.107843137255</v>
      </c>
      <c r="D29" s="18">
        <v>10.780753968254</v>
      </c>
      <c r="E29" s="18">
        <v>81.6089743589744</v>
      </c>
      <c r="F29" s="19">
        <v>8.52333333333333</v>
      </c>
      <c r="G29" s="19">
        <v>51.875</v>
      </c>
      <c r="H29" s="20">
        <v>7.61622807017544</v>
      </c>
      <c r="I29" s="20">
        <v>26.6145833333333</v>
      </c>
      <c r="J29" s="27">
        <v>0.826388888888889</v>
      </c>
      <c r="K29" s="27">
        <v>0.901098901098901</v>
      </c>
      <c r="L29" s="27">
        <v>0.980099502487562</v>
      </c>
      <c r="M29" s="27">
        <v>0</v>
      </c>
      <c r="N29" s="27">
        <v>0.217898832684825</v>
      </c>
      <c r="O29" s="27">
        <v>0</v>
      </c>
    </row>
    <row r="30" s="1" customFormat="1" spans="1:15">
      <c r="A30" s="17" t="s">
        <v>137</v>
      </c>
      <c r="B30" s="18">
        <v>5.71597222222222</v>
      </c>
      <c r="C30" s="18">
        <v>149.49053030303</v>
      </c>
      <c r="D30" s="18">
        <v>33.4268518518519</v>
      </c>
      <c r="E30" s="18">
        <v>221.474358974359</v>
      </c>
      <c r="F30" s="19">
        <v>9.15128205128205</v>
      </c>
      <c r="G30" s="19">
        <v>174.319444444444</v>
      </c>
      <c r="H30" s="20">
        <v>21.8224637681159</v>
      </c>
      <c r="I30" s="20">
        <v>93.4583333333333</v>
      </c>
      <c r="J30" s="27">
        <v>0.971751412429379</v>
      </c>
      <c r="K30" s="27">
        <v>0.972972972972973</v>
      </c>
      <c r="L30" s="27">
        <v>0.935714285714286</v>
      </c>
      <c r="M30" s="27">
        <v>0</v>
      </c>
      <c r="N30" s="27">
        <v>0.33806146572104</v>
      </c>
      <c r="O30" s="27">
        <v>0</v>
      </c>
    </row>
    <row r="31" s="1" customFormat="1" spans="1:15">
      <c r="A31" s="17" t="s">
        <v>121</v>
      </c>
      <c r="B31" s="18">
        <v>5.16145833333333</v>
      </c>
      <c r="C31" s="18">
        <v>53.9826388888889</v>
      </c>
      <c r="D31" s="18">
        <v>19.6646825396825</v>
      </c>
      <c r="E31" s="18">
        <v>69.6302083333333</v>
      </c>
      <c r="F31" s="19">
        <v>2.28661616161616</v>
      </c>
      <c r="G31" s="19">
        <v>27.3928571428571</v>
      </c>
      <c r="H31" s="20">
        <v>5.73611111111111</v>
      </c>
      <c r="I31" s="20" t="e">
        <v>#DIV/0!</v>
      </c>
      <c r="J31" s="27">
        <v>0.968253968253968</v>
      </c>
      <c r="K31" s="27">
        <v>0.868421052631579</v>
      </c>
      <c r="L31" s="27">
        <v>0.962962962962963</v>
      </c>
      <c r="M31" s="27">
        <v>0.0198300283286119</v>
      </c>
      <c r="N31" s="27">
        <v>0.355223880597015</v>
      </c>
      <c r="O31" s="27">
        <v>0.00462962962962963</v>
      </c>
    </row>
    <row r="32" s="1" customFormat="1" spans="1:15">
      <c r="A32" s="17" t="s">
        <v>72</v>
      </c>
      <c r="B32" s="18">
        <v>2.57986111111111</v>
      </c>
      <c r="C32" s="18">
        <v>172.680555555556</v>
      </c>
      <c r="D32" s="18">
        <v>20.9146341463415</v>
      </c>
      <c r="E32" s="18">
        <v>93.2916666666667</v>
      </c>
      <c r="F32" s="19">
        <v>2.05833333333333</v>
      </c>
      <c r="G32" s="19">
        <v>692</v>
      </c>
      <c r="H32" s="20">
        <v>175.5625</v>
      </c>
      <c r="I32" s="20">
        <v>28.9166666666667</v>
      </c>
      <c r="J32" s="27">
        <v>0.87012987012987</v>
      </c>
      <c r="K32" s="27">
        <v>0.80952380952381</v>
      </c>
      <c r="L32" s="27">
        <v>0.991525423728814</v>
      </c>
      <c r="M32" s="27">
        <v>0.0178571428571429</v>
      </c>
      <c r="N32" s="27">
        <v>0.404040404040404</v>
      </c>
      <c r="O32" s="27">
        <v>0.0169491525423729</v>
      </c>
    </row>
    <row r="33" s="1" customFormat="1" spans="1:15">
      <c r="A33" s="17" t="s">
        <v>118</v>
      </c>
      <c r="B33" s="18">
        <v>4.05037313432836</v>
      </c>
      <c r="C33" s="18">
        <v>28.7708333333333</v>
      </c>
      <c r="D33" s="18">
        <v>5.4496336996337</v>
      </c>
      <c r="E33" s="18">
        <v>25.5565476190476</v>
      </c>
      <c r="F33" s="19">
        <v>5.21825396825397</v>
      </c>
      <c r="G33" s="19">
        <v>24.0625</v>
      </c>
      <c r="H33" s="20">
        <v>4.675</v>
      </c>
      <c r="I33" s="20">
        <v>16.1666666666667</v>
      </c>
      <c r="J33" s="27">
        <v>0.869158878504673</v>
      </c>
      <c r="K33" s="27">
        <v>0.790540540540541</v>
      </c>
      <c r="L33" s="27">
        <v>0.986798679867987</v>
      </c>
      <c r="M33" s="27">
        <v>0</v>
      </c>
      <c r="N33" s="27">
        <v>0.436802973977695</v>
      </c>
      <c r="O33" s="27">
        <v>0</v>
      </c>
    </row>
    <row r="34" s="1" customFormat="1" spans="1:15">
      <c r="A34" s="17" t="s">
        <v>138</v>
      </c>
      <c r="B34" s="18">
        <v>7.03206928838951</v>
      </c>
      <c r="C34" s="18">
        <v>134.720175438597</v>
      </c>
      <c r="D34" s="18">
        <v>15.9184322033898</v>
      </c>
      <c r="E34" s="18">
        <v>91.9278455284553</v>
      </c>
      <c r="F34" s="19">
        <v>8.54166666666667</v>
      </c>
      <c r="G34" s="19">
        <v>165.753571428571</v>
      </c>
      <c r="H34" s="20">
        <v>35.5710784313726</v>
      </c>
      <c r="I34" s="20">
        <v>117.09011627907</v>
      </c>
      <c r="J34" s="27">
        <v>0.873164218958612</v>
      </c>
      <c r="K34" s="27">
        <v>0.822128851540616</v>
      </c>
      <c r="L34" s="27">
        <v>0.975020145044319</v>
      </c>
      <c r="M34" s="27">
        <v>0.0217391304347826</v>
      </c>
      <c r="N34" s="27">
        <v>0.311702717692734</v>
      </c>
      <c r="O34" s="27">
        <v>0.0177276390008058</v>
      </c>
    </row>
    <row r="35" s="1" customFormat="1" spans="1:15">
      <c r="A35" s="17" t="s">
        <v>135</v>
      </c>
      <c r="B35" s="18">
        <v>3.40965346534653</v>
      </c>
      <c r="C35" s="18">
        <v>125.166666666667</v>
      </c>
      <c r="D35" s="18">
        <v>36.0669191919192</v>
      </c>
      <c r="E35" s="18">
        <v>147.885416666667</v>
      </c>
      <c r="F35" s="19">
        <v>4.98691460055096</v>
      </c>
      <c r="G35" s="19">
        <v>125.982323232323</v>
      </c>
      <c r="H35" s="20">
        <v>9.46412037037037</v>
      </c>
      <c r="I35" s="20">
        <v>347.069444444444</v>
      </c>
      <c r="J35" s="27">
        <v>0.979166666666667</v>
      </c>
      <c r="K35" s="27">
        <v>0.898876404494382</v>
      </c>
      <c r="L35" s="27">
        <v>0.994475138121547</v>
      </c>
      <c r="M35" s="27">
        <v>0.0135135135135135</v>
      </c>
      <c r="N35" s="27">
        <v>0.144208037825059</v>
      </c>
      <c r="O35" s="27">
        <v>0</v>
      </c>
    </row>
    <row r="36" s="1" customFormat="1" spans="1:15">
      <c r="A36" s="17" t="s">
        <v>128</v>
      </c>
      <c r="B36" s="18">
        <v>15.7653846153846</v>
      </c>
      <c r="C36" s="18">
        <v>62.1315789473684</v>
      </c>
      <c r="D36" s="18">
        <v>20.5224358974359</v>
      </c>
      <c r="E36" s="18">
        <v>55.3541666666667</v>
      </c>
      <c r="F36" s="19">
        <v>14</v>
      </c>
      <c r="G36" s="19">
        <v>1.70833333333333</v>
      </c>
      <c r="H36" s="20" t="e">
        <v>#DIV/0!</v>
      </c>
      <c r="I36" s="20" t="e">
        <v>#DIV/0!</v>
      </c>
      <c r="J36" s="27">
        <v>0.903225806451613</v>
      </c>
      <c r="K36" s="27">
        <v>1</v>
      </c>
      <c r="L36" s="27">
        <v>1.02020202020202</v>
      </c>
      <c r="M36" s="27">
        <v>0</v>
      </c>
      <c r="N36" s="27">
        <v>0.361290322580645</v>
      </c>
      <c r="O36" s="27">
        <v>0</v>
      </c>
    </row>
    <row r="37" s="1" customFormat="1" spans="1:15">
      <c r="A37" s="17" t="s">
        <v>82</v>
      </c>
      <c r="B37" s="18">
        <v>4.40833333333333</v>
      </c>
      <c r="C37" s="18">
        <v>455.875</v>
      </c>
      <c r="D37" s="18">
        <v>5.3</v>
      </c>
      <c r="E37" s="18">
        <v>156.444444444444</v>
      </c>
      <c r="F37" s="19">
        <v>4.68055555555556</v>
      </c>
      <c r="G37" s="19">
        <v>916.875</v>
      </c>
      <c r="H37" s="20">
        <v>2.97916666666667</v>
      </c>
      <c r="I37" s="20">
        <v>398.520833333333</v>
      </c>
      <c r="J37" s="27">
        <v>0.785714285714286</v>
      </c>
      <c r="K37" s="27">
        <v>0.705882352941177</v>
      </c>
      <c r="L37" s="27">
        <v>0.956521739130435</v>
      </c>
      <c r="M37" s="27">
        <v>0</v>
      </c>
      <c r="N37" s="27">
        <v>0.258064516129032</v>
      </c>
      <c r="O37" s="27">
        <v>0</v>
      </c>
    </row>
    <row r="38" s="1" customFormat="1" spans="1:15">
      <c r="A38" s="17" t="s">
        <v>153</v>
      </c>
      <c r="B38" s="18" t="e">
        <v>#DIV/0!</v>
      </c>
      <c r="C38" s="18" t="e">
        <v>#DIV/0!</v>
      </c>
      <c r="D38" s="18">
        <v>47.7689393939394</v>
      </c>
      <c r="E38" s="18">
        <v>79.5625</v>
      </c>
      <c r="F38" s="19" t="e">
        <v>#DIV/0!</v>
      </c>
      <c r="G38" s="19" t="e">
        <v>#DIV/0!</v>
      </c>
      <c r="H38" s="20" t="e">
        <v>#DIV/0!</v>
      </c>
      <c r="I38" s="20" t="e">
        <v>#DIV/0!</v>
      </c>
      <c r="J38" s="27" t="e">
        <v>#DIV/0!</v>
      </c>
      <c r="K38" s="27">
        <v>0.69811320754717</v>
      </c>
      <c r="L38" s="27">
        <v>1</v>
      </c>
      <c r="M38" s="27">
        <v>0</v>
      </c>
      <c r="N38" s="27">
        <v>0.314814814814815</v>
      </c>
      <c r="O38" s="27">
        <v>0</v>
      </c>
    </row>
    <row r="39" s="1" customFormat="1" spans="1:15">
      <c r="A39" s="17" t="s">
        <v>120</v>
      </c>
      <c r="B39" s="18">
        <v>3.20769720101781</v>
      </c>
      <c r="C39" s="18">
        <v>46.5441919191919</v>
      </c>
      <c r="D39" s="18">
        <v>12.2232704402516</v>
      </c>
      <c r="E39" s="18">
        <v>109.065972222222</v>
      </c>
      <c r="F39" s="19">
        <v>4.18551587301587</v>
      </c>
      <c r="G39" s="19">
        <v>48.5989583333333</v>
      </c>
      <c r="H39" s="20">
        <v>15.6277777777778</v>
      </c>
      <c r="I39" s="20">
        <v>132.1875</v>
      </c>
      <c r="J39" s="27">
        <v>0.952586206896552</v>
      </c>
      <c r="K39" s="27">
        <v>0.855769230769231</v>
      </c>
      <c r="L39" s="27">
        <v>0.954838709677419</v>
      </c>
      <c r="M39" s="27">
        <v>0</v>
      </c>
      <c r="N39" s="27">
        <v>0.157608695652174</v>
      </c>
      <c r="O39" s="27">
        <v>0.00645161290322581</v>
      </c>
    </row>
    <row r="40" s="1" customFormat="1" spans="1:15">
      <c r="A40" s="17"/>
      <c r="B40" s="18"/>
      <c r="C40" s="18"/>
      <c r="D40" s="18"/>
      <c r="E40" s="18"/>
      <c r="F40" s="19"/>
      <c r="G40" s="19"/>
      <c r="H40" s="20"/>
      <c r="I40" s="20"/>
      <c r="J40" s="27"/>
      <c r="K40" s="27"/>
      <c r="L40" s="27"/>
      <c r="M40" s="27"/>
      <c r="N40" s="27"/>
      <c r="O40" s="27"/>
    </row>
    <row r="41" s="1" customFormat="1" spans="1:15">
      <c r="A41" s="17"/>
      <c r="B41" s="18"/>
      <c r="C41" s="18"/>
      <c r="D41" s="18"/>
      <c r="E41" s="18"/>
      <c r="F41" s="19"/>
      <c r="G41" s="19"/>
      <c r="H41" s="20"/>
      <c r="I41" s="20"/>
      <c r="J41" s="27"/>
      <c r="K41" s="27"/>
      <c r="L41" s="27"/>
      <c r="M41" s="27"/>
      <c r="N41" s="27"/>
      <c r="O41" s="27"/>
    </row>
    <row r="42" s="1" customFormat="1" spans="1:15">
      <c r="A42" s="17"/>
      <c r="B42" s="18"/>
      <c r="C42" s="18"/>
      <c r="D42" s="18"/>
      <c r="E42" s="18"/>
      <c r="F42" s="19"/>
      <c r="G42" s="19"/>
      <c r="H42" s="20"/>
      <c r="I42" s="20"/>
      <c r="J42" s="27"/>
      <c r="K42" s="27"/>
      <c r="L42" s="27"/>
      <c r="M42" s="27"/>
      <c r="N42" s="27"/>
      <c r="O42" s="27"/>
    </row>
    <row r="43" s="1" customFormat="1" spans="1:15">
      <c r="A43" s="17"/>
      <c r="B43" s="18"/>
      <c r="C43" s="18"/>
      <c r="D43" s="18"/>
      <c r="E43" s="18"/>
      <c r="F43" s="19"/>
      <c r="G43" s="19"/>
      <c r="H43" s="20"/>
      <c r="I43" s="20"/>
      <c r="J43" s="27"/>
      <c r="K43" s="27"/>
      <c r="L43" s="27"/>
      <c r="M43" s="27"/>
      <c r="N43" s="27"/>
      <c r="O43" s="27"/>
    </row>
    <row r="44" s="1" customFormat="1" spans="1:15">
      <c r="A44" s="17"/>
      <c r="B44" s="18"/>
      <c r="C44" s="18"/>
      <c r="D44" s="18"/>
      <c r="E44" s="18"/>
      <c r="F44" s="19"/>
      <c r="G44" s="19"/>
      <c r="H44" s="20"/>
      <c r="I44" s="20"/>
      <c r="J44" s="27"/>
      <c r="K44" s="27"/>
      <c r="L44" s="27"/>
      <c r="M44" s="27"/>
      <c r="N44" s="27"/>
      <c r="O44" s="27"/>
    </row>
    <row r="45" s="1" customFormat="1" spans="1:15">
      <c r="A45" s="17"/>
      <c r="B45" s="18"/>
      <c r="C45" s="18"/>
      <c r="D45" s="18"/>
      <c r="E45" s="18"/>
      <c r="F45" s="19"/>
      <c r="G45" s="19"/>
      <c r="H45" s="20"/>
      <c r="I45" s="20"/>
      <c r="J45" s="27"/>
      <c r="K45" s="27"/>
      <c r="L45" s="27"/>
      <c r="M45" s="27"/>
      <c r="N45" s="27"/>
      <c r="O45" s="27"/>
    </row>
    <row r="46" s="1" customFormat="1" spans="1:15">
      <c r="A46" s="17"/>
      <c r="B46" s="18"/>
      <c r="C46" s="18"/>
      <c r="D46" s="18"/>
      <c r="E46" s="18"/>
      <c r="F46" s="19"/>
      <c r="G46" s="19"/>
      <c r="H46" s="20"/>
      <c r="I46" s="20"/>
      <c r="J46" s="27"/>
      <c r="K46" s="27"/>
      <c r="L46" s="27"/>
      <c r="M46" s="27"/>
      <c r="N46" s="27"/>
      <c r="O46" s="27"/>
    </row>
    <row r="47" s="1" customFormat="1" spans="1:15">
      <c r="A47" s="17"/>
      <c r="B47" s="18"/>
      <c r="C47" s="18"/>
      <c r="D47" s="18"/>
      <c r="E47" s="18"/>
      <c r="F47" s="19"/>
      <c r="G47" s="19"/>
      <c r="H47" s="20"/>
      <c r="I47" s="20"/>
      <c r="J47" s="27"/>
      <c r="K47" s="27"/>
      <c r="L47" s="27"/>
      <c r="M47" s="27"/>
      <c r="N47" s="27"/>
      <c r="O47" s="27"/>
    </row>
    <row r="48" s="1" customFormat="1" spans="1:15">
      <c r="A48" s="17"/>
      <c r="B48" s="18"/>
      <c r="C48" s="18"/>
      <c r="D48" s="18"/>
      <c r="E48" s="18"/>
      <c r="F48" s="19"/>
      <c r="G48" s="19"/>
      <c r="H48" s="20"/>
      <c r="I48" s="20"/>
      <c r="J48" s="27"/>
      <c r="K48" s="27"/>
      <c r="L48" s="27"/>
      <c r="M48" s="27"/>
      <c r="N48" s="27"/>
      <c r="O48" s="27"/>
    </row>
    <row r="49" s="1" customFormat="1" spans="1:15">
      <c r="A49" s="17"/>
      <c r="B49" s="18"/>
      <c r="C49" s="18"/>
      <c r="D49" s="18"/>
      <c r="E49" s="18"/>
      <c r="F49" s="19"/>
      <c r="G49" s="19"/>
      <c r="H49" s="20"/>
      <c r="I49" s="20"/>
      <c r="J49" s="27"/>
      <c r="K49" s="27"/>
      <c r="L49" s="27"/>
      <c r="M49" s="27"/>
      <c r="N49" s="27"/>
      <c r="O49" s="27"/>
    </row>
    <row r="50" s="1" customFormat="1" spans="1:15">
      <c r="A50" s="17"/>
      <c r="B50" s="18"/>
      <c r="C50" s="18"/>
      <c r="D50" s="18"/>
      <c r="E50" s="18"/>
      <c r="F50" s="19"/>
      <c r="G50" s="19"/>
      <c r="H50" s="20"/>
      <c r="I50" s="20"/>
      <c r="J50" s="27"/>
      <c r="K50" s="27"/>
      <c r="L50" s="27"/>
      <c r="M50" s="27"/>
      <c r="N50" s="27"/>
      <c r="O50" s="27"/>
    </row>
    <row r="51" s="1" customFormat="1" spans="1:15">
      <c r="A51" s="17"/>
      <c r="B51" s="18"/>
      <c r="C51" s="18"/>
      <c r="D51" s="18"/>
      <c r="E51" s="18"/>
      <c r="F51" s="19"/>
      <c r="G51" s="19"/>
      <c r="H51" s="20"/>
      <c r="I51" s="20"/>
      <c r="J51" s="27"/>
      <c r="K51" s="27"/>
      <c r="L51" s="27"/>
      <c r="M51" s="27"/>
      <c r="N51" s="27"/>
      <c r="O51" s="27"/>
    </row>
    <row r="52" s="1" customFormat="1" spans="1:15">
      <c r="A52" s="17"/>
      <c r="B52" s="18"/>
      <c r="C52" s="18"/>
      <c r="D52" s="18"/>
      <c r="E52" s="18"/>
      <c r="F52" s="19"/>
      <c r="G52" s="19"/>
      <c r="H52" s="20"/>
      <c r="I52" s="20"/>
      <c r="J52" s="27"/>
      <c r="K52" s="27"/>
      <c r="L52" s="27"/>
      <c r="M52" s="27"/>
      <c r="N52" s="27"/>
      <c r="O52" s="27"/>
    </row>
    <row r="53" s="1" customFormat="1" spans="1:15">
      <c r="A53" s="17"/>
      <c r="B53" s="18"/>
      <c r="C53" s="18"/>
      <c r="D53" s="18"/>
      <c r="E53" s="18"/>
      <c r="F53" s="19"/>
      <c r="G53" s="19"/>
      <c r="H53" s="20"/>
      <c r="I53" s="20"/>
      <c r="J53" s="27"/>
      <c r="K53" s="27"/>
      <c r="L53" s="27"/>
      <c r="M53" s="27"/>
      <c r="N53" s="27"/>
      <c r="O53" s="27"/>
    </row>
    <row r="54" s="1" customFormat="1" spans="1:15">
      <c r="A54" s="17"/>
      <c r="B54" s="18"/>
      <c r="C54" s="18"/>
      <c r="D54" s="18"/>
      <c r="E54" s="18"/>
      <c r="F54" s="19"/>
      <c r="G54" s="19"/>
      <c r="H54" s="20"/>
      <c r="I54" s="20"/>
      <c r="J54" s="27"/>
      <c r="K54" s="27"/>
      <c r="L54" s="27"/>
      <c r="M54" s="27"/>
      <c r="N54" s="27"/>
      <c r="O54" s="27"/>
    </row>
    <row r="55" s="1" customFormat="1" spans="1:15">
      <c r="A55" s="17"/>
      <c r="B55" s="18"/>
      <c r="C55" s="18"/>
      <c r="D55" s="18"/>
      <c r="E55" s="18"/>
      <c r="F55" s="19"/>
      <c r="G55" s="19"/>
      <c r="H55" s="20"/>
      <c r="I55" s="20"/>
      <c r="J55" s="27"/>
      <c r="K55" s="27"/>
      <c r="L55" s="27"/>
      <c r="M55" s="27"/>
      <c r="N55" s="27"/>
      <c r="O55" s="27"/>
    </row>
    <row r="56" s="1" customFormat="1" spans="1:15">
      <c r="A56" s="17"/>
      <c r="B56" s="18"/>
      <c r="C56" s="18"/>
      <c r="D56" s="18"/>
      <c r="E56" s="18"/>
      <c r="F56" s="19"/>
      <c r="G56" s="19"/>
      <c r="H56" s="20"/>
      <c r="I56" s="20"/>
      <c r="J56" s="27"/>
      <c r="K56" s="27"/>
      <c r="L56" s="27"/>
      <c r="M56" s="27"/>
      <c r="N56" s="27"/>
      <c r="O56" s="27"/>
    </row>
    <row r="57" s="1" customFormat="1" spans="1:15">
      <c r="A57" s="17"/>
      <c r="B57" s="18"/>
      <c r="C57" s="18"/>
      <c r="D57" s="18"/>
      <c r="E57" s="18"/>
      <c r="F57" s="19"/>
      <c r="G57" s="19"/>
      <c r="H57" s="20"/>
      <c r="I57" s="20"/>
      <c r="J57" s="27"/>
      <c r="K57" s="27"/>
      <c r="L57" s="27"/>
      <c r="M57" s="27"/>
      <c r="N57" s="27"/>
      <c r="O57" s="27"/>
    </row>
    <row r="58" s="1" customFormat="1" spans="1:15">
      <c r="A58" s="17"/>
      <c r="B58" s="18"/>
      <c r="C58" s="18"/>
      <c r="D58" s="18"/>
      <c r="E58" s="18"/>
      <c r="F58" s="19"/>
      <c r="G58" s="19"/>
      <c r="H58" s="20"/>
      <c r="I58" s="20"/>
      <c r="J58" s="27"/>
      <c r="K58" s="27"/>
      <c r="L58" s="27"/>
      <c r="M58" s="27"/>
      <c r="N58" s="27"/>
      <c r="O58" s="27"/>
    </row>
    <row r="59" s="1" customFormat="1" spans="1:15">
      <c r="A59" s="17"/>
      <c r="B59" s="18"/>
      <c r="C59" s="18"/>
      <c r="D59" s="18"/>
      <c r="E59" s="18"/>
      <c r="F59" s="19"/>
      <c r="G59" s="19"/>
      <c r="H59" s="20"/>
      <c r="I59" s="20"/>
      <c r="J59" s="27"/>
      <c r="K59" s="27"/>
      <c r="L59" s="27"/>
      <c r="M59" s="27"/>
      <c r="N59" s="27"/>
      <c r="O59" s="27"/>
    </row>
    <row r="60" s="1" customFormat="1" spans="1:15">
      <c r="A60" s="17"/>
      <c r="B60" s="18"/>
      <c r="C60" s="18"/>
      <c r="D60" s="18"/>
      <c r="E60" s="18"/>
      <c r="F60" s="19"/>
      <c r="G60" s="19"/>
      <c r="H60" s="20"/>
      <c r="I60" s="20"/>
      <c r="J60" s="27"/>
      <c r="K60" s="27"/>
      <c r="L60" s="27"/>
      <c r="M60" s="27"/>
      <c r="N60" s="27"/>
      <c r="O60" s="27"/>
    </row>
    <row r="61" s="1" customFormat="1" spans="1:15">
      <c r="A61" s="17"/>
      <c r="B61" s="18"/>
      <c r="C61" s="18"/>
      <c r="D61" s="18"/>
      <c r="E61" s="18"/>
      <c r="F61" s="19"/>
      <c r="G61" s="19"/>
      <c r="H61" s="20"/>
      <c r="I61" s="20"/>
      <c r="J61" s="27"/>
      <c r="K61" s="27"/>
      <c r="L61" s="27"/>
      <c r="M61" s="27"/>
      <c r="N61" s="27"/>
      <c r="O61" s="27"/>
    </row>
    <row r="62" s="1" customFormat="1" spans="1:15">
      <c r="A62" s="17"/>
      <c r="B62" s="18"/>
      <c r="C62" s="18"/>
      <c r="D62" s="18"/>
      <c r="E62" s="18"/>
      <c r="F62" s="19"/>
      <c r="G62" s="19"/>
      <c r="H62" s="20"/>
      <c r="I62" s="20"/>
      <c r="J62" s="27"/>
      <c r="K62" s="27"/>
      <c r="L62" s="27"/>
      <c r="M62" s="27"/>
      <c r="N62" s="27"/>
      <c r="O62" s="27"/>
    </row>
    <row r="63" s="1" customFormat="1" spans="1:15">
      <c r="A63" s="17"/>
      <c r="B63" s="18"/>
      <c r="C63" s="18"/>
      <c r="D63" s="18"/>
      <c r="E63" s="18"/>
      <c r="F63" s="19"/>
      <c r="G63" s="19"/>
      <c r="H63" s="20"/>
      <c r="I63" s="20"/>
      <c r="J63" s="27"/>
      <c r="K63" s="27"/>
      <c r="L63" s="27"/>
      <c r="M63" s="27"/>
      <c r="N63" s="27"/>
      <c r="O63" s="27"/>
    </row>
    <row r="64" s="1" customFormat="1" spans="1:15">
      <c r="A64" s="17"/>
      <c r="B64" s="18"/>
      <c r="C64" s="18"/>
      <c r="D64" s="18"/>
      <c r="E64" s="18"/>
      <c r="F64" s="19"/>
      <c r="G64" s="19"/>
      <c r="H64" s="20"/>
      <c r="I64" s="20"/>
      <c r="J64" s="27"/>
      <c r="K64" s="27"/>
      <c r="L64" s="27"/>
      <c r="M64" s="27"/>
      <c r="N64" s="27"/>
      <c r="O64" s="27"/>
    </row>
    <row r="65" s="1" customFormat="1" spans="1:15">
      <c r="A65" s="17"/>
      <c r="B65" s="18"/>
      <c r="C65" s="18"/>
      <c r="D65" s="18"/>
      <c r="E65" s="18"/>
      <c r="F65" s="19"/>
      <c r="G65" s="19"/>
      <c r="H65" s="20"/>
      <c r="I65" s="20"/>
      <c r="J65" s="27"/>
      <c r="K65" s="27"/>
      <c r="L65" s="27"/>
      <c r="M65" s="27"/>
      <c r="N65" s="27"/>
      <c r="O65" s="27"/>
    </row>
    <row r="66" s="1" customFormat="1" spans="1:15">
      <c r="A66" s="17"/>
      <c r="B66" s="18"/>
      <c r="C66" s="18"/>
      <c r="D66" s="18"/>
      <c r="E66" s="18"/>
      <c r="F66" s="19"/>
      <c r="G66" s="19"/>
      <c r="H66" s="20"/>
      <c r="I66" s="20"/>
      <c r="J66" s="27"/>
      <c r="K66" s="27"/>
      <c r="L66" s="27"/>
      <c r="M66" s="27"/>
      <c r="N66" s="27"/>
      <c r="O66" s="27"/>
    </row>
    <row r="67" s="1" customFormat="1" spans="1:15">
      <c r="A67" s="17"/>
      <c r="B67" s="18"/>
      <c r="C67" s="18"/>
      <c r="D67" s="18"/>
      <c r="E67" s="18"/>
      <c r="F67" s="19"/>
      <c r="G67" s="19"/>
      <c r="H67" s="20"/>
      <c r="I67" s="20"/>
      <c r="J67" s="27"/>
      <c r="K67" s="27"/>
      <c r="L67" s="27"/>
      <c r="M67" s="27"/>
      <c r="N67" s="27"/>
      <c r="O67" s="27"/>
    </row>
    <row r="68" s="1" customFormat="1" spans="1:15">
      <c r="A68" s="17"/>
      <c r="B68" s="18"/>
      <c r="C68" s="18"/>
      <c r="D68" s="18"/>
      <c r="E68" s="18"/>
      <c r="F68" s="19"/>
      <c r="G68" s="19"/>
      <c r="H68" s="20"/>
      <c r="I68" s="20"/>
      <c r="J68" s="27"/>
      <c r="K68" s="27"/>
      <c r="L68" s="27"/>
      <c r="M68" s="27"/>
      <c r="N68" s="27"/>
      <c r="O68" s="27"/>
    </row>
    <row r="69" s="1" customFormat="1" spans="1:15">
      <c r="A69" s="17"/>
      <c r="B69" s="18"/>
      <c r="C69" s="18"/>
      <c r="D69" s="18"/>
      <c r="E69" s="18"/>
      <c r="F69" s="19"/>
      <c r="G69" s="19"/>
      <c r="H69" s="20"/>
      <c r="I69" s="20"/>
      <c r="J69" s="27"/>
      <c r="K69" s="27"/>
      <c r="L69" s="27"/>
      <c r="M69" s="27"/>
      <c r="N69" s="27"/>
      <c r="O69" s="27"/>
    </row>
    <row r="70" s="1" customFormat="1" spans="1:15">
      <c r="A70" s="17"/>
      <c r="B70" s="18"/>
      <c r="C70" s="18"/>
      <c r="D70" s="18"/>
      <c r="E70" s="18"/>
      <c r="F70" s="19"/>
      <c r="G70" s="19"/>
      <c r="H70" s="20"/>
      <c r="I70" s="20"/>
      <c r="J70" s="27"/>
      <c r="K70" s="27"/>
      <c r="L70" s="27"/>
      <c r="M70" s="27"/>
      <c r="N70" s="27"/>
      <c r="O70" s="27"/>
    </row>
    <row r="71" s="4" customFormat="1" spans="1:15">
      <c r="A71" s="5"/>
      <c r="B71" s="5"/>
      <c r="C71" s="5"/>
      <c r="D71" s="5"/>
      <c r="E71" s="5"/>
      <c r="F71" s="1"/>
      <c r="G71" s="1"/>
      <c r="H71" s="1"/>
      <c r="I71" s="1"/>
      <c r="J71" s="6"/>
      <c r="K71" s="6"/>
      <c r="L71" s="1"/>
      <c r="M71" s="1"/>
      <c r="N71" s="1"/>
      <c r="O71" s="1"/>
    </row>
    <row r="72" s="4" customFormat="1" spans="1:15">
      <c r="A72" s="5"/>
      <c r="B72" s="5"/>
      <c r="C72" s="5"/>
      <c r="D72" s="5"/>
      <c r="E72" s="5"/>
      <c r="F72" s="1"/>
      <c r="G72" s="1"/>
      <c r="H72" s="1"/>
      <c r="I72" s="1"/>
      <c r="J72" s="6"/>
      <c r="K72" s="6"/>
      <c r="L72" s="1"/>
      <c r="M72" s="1"/>
      <c r="N72" s="1"/>
      <c r="O72" s="1"/>
    </row>
    <row r="73" s="4" customFormat="1" spans="1:15">
      <c r="A73" s="5"/>
      <c r="B73" s="5"/>
      <c r="C73" s="5"/>
      <c r="D73" s="5"/>
      <c r="E73" s="5"/>
      <c r="F73" s="1"/>
      <c r="G73" s="1"/>
      <c r="H73" s="1"/>
      <c r="I73" s="1"/>
      <c r="J73" s="6"/>
      <c r="K73" s="6"/>
      <c r="L73" s="1"/>
      <c r="M73" s="1"/>
      <c r="N73" s="1"/>
      <c r="O73" s="1"/>
    </row>
    <row r="74" s="4" customFormat="1" spans="1:15">
      <c r="A74" s="5"/>
      <c r="B74" s="5"/>
      <c r="C74" s="5"/>
      <c r="D74" s="5"/>
      <c r="E74" s="5"/>
      <c r="F74" s="1"/>
      <c r="G74" s="1"/>
      <c r="H74" s="1"/>
      <c r="I74" s="1"/>
      <c r="J74" s="6"/>
      <c r="K74" s="6"/>
      <c r="L74" s="1"/>
      <c r="M74" s="1"/>
      <c r="N74" s="1"/>
      <c r="O74" s="1"/>
    </row>
  </sheetData>
  <mergeCells count="9">
    <mergeCell ref="A1:O1"/>
    <mergeCell ref="B2:E2"/>
    <mergeCell ref="F2:I2"/>
    <mergeCell ref="J2:K2"/>
    <mergeCell ref="A2:A3"/>
    <mergeCell ref="L2:L3"/>
    <mergeCell ref="M2:M3"/>
    <mergeCell ref="N2:N3"/>
    <mergeCell ref="O2:O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HP(惠普)电脑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results</vt:lpstr>
      <vt:lpstr>Sheet1</vt:lpstr>
      <vt:lpstr>测算稿 </vt:lpstr>
      <vt:lpstr>基础数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纪鹏</dc:creator>
  <cp:lastModifiedBy>Administrator</cp:lastModifiedBy>
  <dcterms:created xsi:type="dcterms:W3CDTF">2017-05-20T08:33:00Z</dcterms:created>
  <dcterms:modified xsi:type="dcterms:W3CDTF">2023-10-12T03:09:12Z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6D8CC0548D4C47489710EA297633EDF9_13</vt:lpwstr>
  </property>
</Properties>
</file>