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firstSheet="2" activeTab="2"/>
  </bookViews>
  <sheets>
    <sheet name="results" sheetId="5" state="veryHidden" r:id="rId1"/>
    <sheet name="Sheet1" sheetId="4" state="hidden" r:id="rId2"/>
    <sheet name="测算稿 " sheetId="8" r:id="rId3"/>
    <sheet name="基础数" sheetId="9" r:id="rId4"/>
  </sheets>
  <externalReferences>
    <externalReference r:id="rId5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<sst xmlns="http://schemas.openxmlformats.org/spreadsheetml/2006/main" count="233" uniqueCount="154">
  <si>
    <t>2019年1-6月累计车险原保险保费收入</t>
  </si>
  <si>
    <t>单位：万元，须转换成亿元</t>
  </si>
  <si>
    <t>转换为亿元保费</t>
  </si>
  <si>
    <t>2018.7-2019.6滚动12个月</t>
  </si>
  <si>
    <t>车险-理赔-有效件</t>
  </si>
  <si>
    <t>公司名称</t>
  </si>
  <si>
    <t>本年</t>
  </si>
  <si>
    <r>
      <rPr>
        <b/>
        <sz val="11"/>
        <color theme="1"/>
        <rFont val="宋体"/>
        <charset val="134"/>
      </rPr>
      <t>2018</t>
    </r>
    <r>
      <rPr>
        <b/>
        <sz val="9"/>
        <rFont val="宋体"/>
        <charset val="134"/>
      </rPr>
      <t>年</t>
    </r>
    <r>
      <rPr>
        <b/>
        <sz val="9"/>
        <rFont val="Tahoma"/>
        <charset val="134"/>
      </rPr>
      <t>7</t>
    </r>
    <r>
      <rPr>
        <b/>
        <sz val="9"/>
        <rFont val="宋体"/>
        <charset val="134"/>
      </rPr>
      <t>月</t>
    </r>
    <r>
      <rPr>
        <b/>
        <sz val="9"/>
        <rFont val="Tahoma"/>
        <charset val="134"/>
      </rPr>
      <t>-12</t>
    </r>
    <r>
      <rPr>
        <b/>
        <sz val="9"/>
        <rFont val="宋体"/>
        <charset val="134"/>
      </rPr>
      <t>月累计</t>
    </r>
  </si>
  <si>
    <r>
      <rPr>
        <b/>
        <sz val="11"/>
        <color theme="1"/>
        <rFont val="宋体"/>
        <charset val="134"/>
      </rPr>
      <t>2019.6</t>
    </r>
    <r>
      <rPr>
        <sz val="10"/>
        <rFont val="宋体"/>
        <charset val="134"/>
      </rPr>
      <t>滚动</t>
    </r>
    <r>
      <rPr>
        <sz val="11"/>
        <color theme="1"/>
        <rFont val="宋体"/>
        <charset val="134"/>
      </rPr>
      <t>12</t>
    </r>
    <r>
      <rPr>
        <sz val="10"/>
        <rFont val="宋体"/>
        <charset val="134"/>
      </rPr>
      <t>月合计（万元）</t>
    </r>
  </si>
  <si>
    <r>
      <rPr>
        <b/>
        <sz val="11"/>
        <color theme="1"/>
        <rFont val="宋体"/>
        <charset val="134"/>
      </rPr>
      <t>2019.6</t>
    </r>
    <r>
      <rPr>
        <sz val="10"/>
        <rFont val="宋体"/>
        <charset val="134"/>
      </rPr>
      <t>滚动</t>
    </r>
    <r>
      <rPr>
        <sz val="11"/>
        <color theme="1"/>
        <rFont val="宋体"/>
        <charset val="134"/>
      </rPr>
      <t>12</t>
    </r>
    <r>
      <rPr>
        <sz val="10"/>
        <rFont val="宋体"/>
        <charset val="134"/>
      </rPr>
      <t>月车险理赔有效投诉件合计</t>
    </r>
  </si>
  <si>
    <r>
      <rPr>
        <b/>
        <sz val="11"/>
        <color theme="1"/>
        <rFont val="宋体"/>
        <charset val="134"/>
      </rPr>
      <t>2019.6</t>
    </r>
    <r>
      <rPr>
        <sz val="10"/>
        <rFont val="宋体"/>
        <charset val="134"/>
      </rPr>
      <t>滚动</t>
    </r>
    <r>
      <rPr>
        <sz val="11"/>
        <color theme="1"/>
        <rFont val="宋体"/>
        <charset val="134"/>
      </rPr>
      <t>12</t>
    </r>
    <r>
      <rPr>
        <sz val="10"/>
        <rFont val="宋体"/>
        <charset val="134"/>
      </rPr>
      <t>月合计（亿元）</t>
    </r>
  </si>
  <si>
    <t>亿元保费投诉量</t>
  </si>
  <si>
    <t>机构名称</t>
  </si>
  <si>
    <t>计数项:投诉内容</t>
  </si>
  <si>
    <r>
      <rPr>
        <sz val="11"/>
        <color theme="1"/>
        <rFont val="宋体"/>
        <charset val="134"/>
      </rPr>
      <t>车险原保险保费收入（滚动</t>
    </r>
    <r>
      <rPr>
        <sz val="11"/>
        <color theme="1"/>
        <rFont val="宋体"/>
        <charset val="134"/>
      </rPr>
      <t>12</t>
    </r>
    <r>
      <rPr>
        <sz val="10"/>
        <rFont val="宋体"/>
        <charset val="134"/>
      </rPr>
      <t>月）</t>
    </r>
  </si>
  <si>
    <t>人保股份鲁分</t>
  </si>
  <si>
    <t>安邦财险</t>
  </si>
  <si>
    <t>大地财产鲁分</t>
  </si>
  <si>
    <t>安诚财险</t>
  </si>
  <si>
    <t>中华联合鲁分</t>
  </si>
  <si>
    <t>安华农险</t>
  </si>
  <si>
    <t>太保财鲁分</t>
  </si>
  <si>
    <t>安盛天平</t>
  </si>
  <si>
    <t>平安财鲁分</t>
  </si>
  <si>
    <t>渤海财险</t>
  </si>
  <si>
    <t>华泰鲁分</t>
  </si>
  <si>
    <t>大地财险</t>
  </si>
  <si>
    <t>天安鲁分</t>
  </si>
  <si>
    <t>鼎和财险</t>
  </si>
  <si>
    <t>华安鲁分</t>
  </si>
  <si>
    <t>都邦财险</t>
  </si>
  <si>
    <t>永安鲁分</t>
  </si>
  <si>
    <t>国任财险</t>
  </si>
  <si>
    <t>太平保险鲁分</t>
  </si>
  <si>
    <t>国寿财险</t>
  </si>
  <si>
    <t>亚太财险鲁分</t>
  </si>
  <si>
    <t>华安财险</t>
  </si>
  <si>
    <t>中银保险鲁分</t>
  </si>
  <si>
    <t>华海财险</t>
  </si>
  <si>
    <t>利宝鲁分</t>
  </si>
  <si>
    <t>华泰财险</t>
  </si>
  <si>
    <t>永诚鲁分</t>
  </si>
  <si>
    <t>利宝保险</t>
  </si>
  <si>
    <t>安邦鲁分</t>
  </si>
  <si>
    <t>平安财险青岛分公司</t>
  </si>
  <si>
    <t>国任财险鲁分</t>
  </si>
  <si>
    <t>平安财险山东分公司</t>
  </si>
  <si>
    <t>安华农业鲁分</t>
  </si>
  <si>
    <t>人保财险</t>
  </si>
  <si>
    <t>安盛天平鲁分</t>
  </si>
  <si>
    <t>太平财险</t>
  </si>
  <si>
    <t>阳光财产鲁分</t>
  </si>
  <si>
    <t>太平洋财险</t>
  </si>
  <si>
    <t>都邦鲁分</t>
  </si>
  <si>
    <t>泰山财险</t>
  </si>
  <si>
    <t>渤海鲁分</t>
  </si>
  <si>
    <t>天安财险</t>
  </si>
  <si>
    <t>国寿财产鲁分</t>
  </si>
  <si>
    <t>鑫安车险</t>
  </si>
  <si>
    <t>安诚鲁分</t>
  </si>
  <si>
    <t>亚太财险</t>
  </si>
  <si>
    <t>长安责任鲁分</t>
  </si>
  <si>
    <t>阳光财险</t>
  </si>
  <si>
    <t>国元保险山东分</t>
  </si>
  <si>
    <t>英大财险</t>
  </si>
  <si>
    <t>鼎和财产鲁分</t>
  </si>
  <si>
    <t>永安财险</t>
  </si>
  <si>
    <t>中煤财产鲁分</t>
  </si>
  <si>
    <t>永诚财险</t>
  </si>
  <si>
    <t>国泰产险鲁分</t>
  </si>
  <si>
    <t>长安责任</t>
  </si>
  <si>
    <t>英大财产鲁分</t>
  </si>
  <si>
    <t>长江财险</t>
  </si>
  <si>
    <t>浙商财产鲁分</t>
  </si>
  <si>
    <t>浙商财险</t>
  </si>
  <si>
    <t>紫金财产鲁分</t>
  </si>
  <si>
    <t>中华财险</t>
  </si>
  <si>
    <t>泰山财险鲁分</t>
  </si>
  <si>
    <t>中路财险</t>
  </si>
  <si>
    <t>众诚保险鲁分</t>
  </si>
  <si>
    <t>中煤财险</t>
  </si>
  <si>
    <t>长江财产山东分</t>
  </si>
  <si>
    <t>中银保险</t>
  </si>
  <si>
    <t>鑫安保险鲁分</t>
  </si>
  <si>
    <t>紫金财险</t>
  </si>
  <si>
    <t>众安财产鲁分（虚拟）</t>
  </si>
  <si>
    <t>总计</t>
  </si>
  <si>
    <t>华海财产鲁分</t>
  </si>
  <si>
    <t>中路财产鲁分</t>
  </si>
  <si>
    <t>泰康在线鲁分（虚拟）</t>
  </si>
  <si>
    <t>平均</t>
  </si>
  <si>
    <t>产险-合计</t>
  </si>
  <si>
    <t>潍坊市财险公司车辆保险理赔服务质量测评结果（2024年2月）</t>
  </si>
  <si>
    <t>排名</t>
  </si>
  <si>
    <t>公司</t>
  </si>
  <si>
    <t>总分</t>
  </si>
  <si>
    <t>理赔时效（60）</t>
  </si>
  <si>
    <t>案件处理（30）</t>
  </si>
  <si>
    <t>投诉处理（10）</t>
  </si>
  <si>
    <t>扣分项（6）</t>
  </si>
  <si>
    <t>家用车支付周期（40）</t>
  </si>
  <si>
    <t>非家用车支付周期（20）</t>
  </si>
  <si>
    <t>结案率（20）</t>
  </si>
  <si>
    <t>结案支付率(10)</t>
  </si>
  <si>
    <t>亿元投诉件数</t>
  </si>
  <si>
    <t>注销案件占比</t>
  </si>
  <si>
    <t>0结案占比</t>
  </si>
  <si>
    <t>案件重开率</t>
  </si>
  <si>
    <t>扣分</t>
  </si>
  <si>
    <t>交强小额案件</t>
  </si>
  <si>
    <t>交强非小额案件</t>
  </si>
  <si>
    <t>商业小额案件</t>
  </si>
  <si>
    <t>商业大额案件</t>
  </si>
  <si>
    <t>交强险</t>
  </si>
  <si>
    <t>商业险</t>
  </si>
  <si>
    <t>指标值</t>
  </si>
  <si>
    <t>得分</t>
  </si>
  <si>
    <t>行业值/满分</t>
  </si>
  <si>
    <t>紫金保险</t>
  </si>
  <si>
    <t>泰山保险</t>
  </si>
  <si>
    <t>天安保险</t>
  </si>
  <si>
    <t>华海保险</t>
  </si>
  <si>
    <t>大地保险</t>
  </si>
  <si>
    <t>华安保险</t>
  </si>
  <si>
    <t>永诚保险</t>
  </si>
  <si>
    <t>国泰产险</t>
  </si>
  <si>
    <t>永安保险</t>
  </si>
  <si>
    <t>阳光保险</t>
  </si>
  <si>
    <t>安诚保险</t>
  </si>
  <si>
    <t>中煤保险</t>
  </si>
  <si>
    <t>太平洋保险</t>
  </si>
  <si>
    <t>平安保险</t>
  </si>
  <si>
    <t>大家保险</t>
  </si>
  <si>
    <t>华泰保险</t>
  </si>
  <si>
    <t>都邦保险</t>
  </si>
  <si>
    <t>英大泰和</t>
  </si>
  <si>
    <t>中华联合</t>
  </si>
  <si>
    <t>中路保险</t>
  </si>
  <si>
    <t>渤海保险</t>
  </si>
  <si>
    <t>安华保险</t>
  </si>
  <si>
    <t>浙商保险</t>
  </si>
  <si>
    <t>亚太保险</t>
  </si>
  <si>
    <t>2024年2月车险理赔时效指标统计表</t>
  </si>
  <si>
    <t>家用车支付周期</t>
  </si>
  <si>
    <t>非家用车支付周期</t>
  </si>
  <si>
    <t>结案率</t>
  </si>
  <si>
    <t>结案支付率</t>
  </si>
  <si>
    <t>交强2000元以下</t>
  </si>
  <si>
    <t>交强2000元以上</t>
  </si>
  <si>
    <t>商业万元以下</t>
  </si>
  <si>
    <t>商业万元以上</t>
  </si>
  <si>
    <t>潍坊</t>
  </si>
  <si>
    <t>泰康在线</t>
  </si>
  <si>
    <t>众安保险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</si>
</sst>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0.00"/>
  </numFmts>
  <fonts count="5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b/>
      <sz val="10"/>
      <name val="Arial"/>
      <charset val="134"/>
    </font>
    <font>
      <b/>
      <sz val="9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charset val="134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color indexed="0"/>
      <name val="Arial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Times New Roman"/>
      <charset val="134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1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7" borderId="13" applyNumberFormat="0" applyAlignment="0" applyProtection="0">
      <alignment vertical="center"/>
    </xf>
    <xf numFmtId="0" fontId="1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0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1" fillId="7" borderId="14" applyNumberForma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" fillId="0" borderId="0"/>
    <xf numFmtId="0" fontId="0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39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/>
    <xf numFmtId="0" fontId="0" fillId="2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6" fillId="6" borderId="13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7" fillId="8" borderId="15" applyNumberFormat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48" fillId="0" borderId="0">
      <alignment horizontal="left"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19" applyNumberFormat="0" applyFill="0" applyAlignment="0" applyProtection="0">
      <alignment vertical="center"/>
    </xf>
    <xf numFmtId="0" fontId="0" fillId="0" borderId="0"/>
    <xf numFmtId="0" fontId="39" fillId="31" borderId="0" applyNumberFormat="0" applyBorder="0" applyAlignment="0" applyProtection="0">
      <alignment vertical="center"/>
    </xf>
    <xf numFmtId="0" fontId="0" fillId="0" borderId="0"/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124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135" applyFont="1" applyBorder="1" applyAlignment="1">
      <alignment horizontal="center"/>
    </xf>
    <xf numFmtId="2" fontId="5" fillId="0" borderId="4" xfId="0" applyNumberFormat="1" applyFont="1" applyFill="1" applyBorder="1" applyAlignment="1"/>
    <xf numFmtId="176" fontId="5" fillId="0" borderId="4" xfId="135" applyNumberFormat="1" applyFont="1" applyBorder="1"/>
    <xf numFmtId="176" fontId="2" fillId="0" borderId="4" xfId="0" applyNumberFormat="1" applyFont="1" applyFill="1" applyBorder="1" applyAlignment="1">
      <alignment vertical="center"/>
    </xf>
    <xf numFmtId="0" fontId="6" fillId="0" borderId="0" xfId="135" applyFont="1" applyBorder="1" applyAlignment="1">
      <alignment horizontal="center"/>
    </xf>
    <xf numFmtId="2" fontId="6" fillId="0" borderId="0" xfId="135" applyNumberFormat="1" applyFont="1" applyBorder="1"/>
    <xf numFmtId="176" fontId="6" fillId="0" borderId="0" xfId="135" applyNumberFormat="1" applyFont="1" applyBorder="1"/>
    <xf numFmtId="176" fontId="1" fillId="0" borderId="0" xfId="0" applyNumberFormat="1" applyFont="1" applyFill="1" applyBorder="1" applyAlignment="1">
      <alignment vertical="center"/>
    </xf>
    <xf numFmtId="10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0" fontId="2" fillId="0" borderId="3" xfId="124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124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/>
    </xf>
    <xf numFmtId="2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3" xfId="146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3" xfId="146" applyNumberFormat="1" applyFont="1" applyBorder="1" applyAlignment="1">
      <alignment horizontal="center" vertical="center" wrapText="1"/>
    </xf>
    <xf numFmtId="0" fontId="3" fillId="0" borderId="3" xfId="146" applyNumberFormat="1" applyFont="1" applyFill="1" applyBorder="1" applyAlignment="1">
      <alignment horizontal="center" vertical="center" wrapText="1"/>
    </xf>
    <xf numFmtId="176" fontId="6" fillId="0" borderId="4" xfId="135" applyNumberFormat="1" applyFont="1" applyBorder="1" applyAlignment="1">
      <alignment horizontal="center"/>
    </xf>
    <xf numFmtId="176" fontId="3" fillId="0" borderId="4" xfId="0" applyNumberFormat="1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10" fontId="8" fillId="0" borderId="3" xfId="124" applyNumberFormat="1" applyFont="1" applyFill="1" applyBorder="1" applyAlignment="1">
      <alignment horizontal="center" vertical="center" wrapText="1"/>
    </xf>
    <xf numFmtId="10" fontId="8" fillId="2" borderId="3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/>
    </xf>
    <xf numFmtId="10" fontId="10" fillId="0" borderId="4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/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/>
    <xf numFmtId="0" fontId="11" fillId="0" borderId="3" xfId="0" applyNumberFormat="1" applyFont="1" applyFill="1" applyBorder="1" applyAlignment="1" applyProtection="1">
      <alignment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49" fontId="15" fillId="0" borderId="3" xfId="112" applyNumberFormat="1" applyFont="1" applyFill="1" applyBorder="1" applyAlignment="1">
      <alignment horizontal="right" vertical="center" wrapText="1"/>
    </xf>
    <xf numFmtId="178" fontId="16" fillId="0" borderId="6" xfId="146" applyNumberFormat="1" applyFont="1" applyFill="1" applyBorder="1" applyAlignment="1">
      <alignment horizontal="right" vertical="center" wrapText="1"/>
    </xf>
    <xf numFmtId="0" fontId="0" fillId="0" borderId="3" xfId="0" applyNumberFormat="1" applyFont="1" applyFill="1" applyBorder="1" applyAlignment="1"/>
    <xf numFmtId="177" fontId="17" fillId="4" borderId="3" xfId="0" applyNumberFormat="1" applyFont="1" applyFill="1" applyBorder="1" applyAlignment="1"/>
    <xf numFmtId="49" fontId="15" fillId="0" borderId="4" xfId="112" applyNumberFormat="1" applyFont="1" applyFill="1" applyBorder="1" applyAlignment="1">
      <alignment horizontal="right" vertical="center" wrapText="1"/>
    </xf>
    <xf numFmtId="178" fontId="16" fillId="0" borderId="7" xfId="146" applyNumberFormat="1" applyFont="1" applyFill="1" applyBorder="1" applyAlignment="1">
      <alignment horizontal="right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178" fontId="18" fillId="0" borderId="9" xfId="146" applyNumberFormat="1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177" fontId="17" fillId="0" borderId="0" xfId="0" applyNumberFormat="1" applyFont="1" applyFill="1" applyBorder="1" applyAlignment="1"/>
  </cellXfs>
  <cellStyles count="1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20% - 强调文字颜色 4 5" xfId="52"/>
    <cellStyle name="注释 5" xfId="53"/>
    <cellStyle name="常规 5 2" xfId="54"/>
    <cellStyle name="强调文字颜色 4 2" xfId="55"/>
    <cellStyle name="20% - 强调文字颜色 5 3" xfId="56"/>
    <cellStyle name="40% - 强调文字颜色 4 2" xfId="57"/>
    <cellStyle name="好 2" xfId="58"/>
    <cellStyle name="20% - 强调文字颜色 1 5" xfId="59"/>
    <cellStyle name="40% - 强调文字颜色 6 5" xfId="60"/>
    <cellStyle name="20% - 强调文字颜色 3 3" xfId="61"/>
    <cellStyle name="20% - 强调文字颜色 6 4" xfId="62"/>
    <cellStyle name="60% - 强调文字颜色 4 2" xfId="63"/>
    <cellStyle name="输出 2" xfId="64"/>
    <cellStyle name="适中 2" xfId="65"/>
    <cellStyle name="常规 4" xfId="66"/>
    <cellStyle name="20% - 强调文字颜色 4 3" xfId="67"/>
    <cellStyle name="40% - 强调文字颜色 2 4" xfId="68"/>
    <cellStyle name="40% - 强调文字颜色 2 5" xfId="69"/>
    <cellStyle name="60% - 强调文字颜色 3 2" xfId="70"/>
    <cellStyle name="20% - 强调文字颜色 5 4" xfId="71"/>
    <cellStyle name="20% - 强调文字颜色 5 5" xfId="72"/>
    <cellStyle name="20% - 强调文字颜色 2 4" xfId="73"/>
    <cellStyle name="常规 8" xfId="74"/>
    <cellStyle name="常规 5" xfId="75"/>
    <cellStyle name="60% - 强调文字颜色 2 2" xfId="76"/>
    <cellStyle name="20% - 强调文字颜色 4 4" xfId="77"/>
    <cellStyle name="20% - 强调文字颜色 6 3" xfId="78"/>
    <cellStyle name="20% - 强调文字颜色 5 2" xfId="79"/>
    <cellStyle name="常规 3 2" xfId="80"/>
    <cellStyle name="标题 3 2" xfId="81"/>
    <cellStyle name="差 2" xfId="82"/>
    <cellStyle name="20% - 强调文字颜色 2 3" xfId="83"/>
    <cellStyle name="标题 5" xfId="84"/>
    <cellStyle name="20% - 强调文字颜色 6 5" xfId="85"/>
    <cellStyle name="20% - 强调文字颜色 2 5" xfId="86"/>
    <cellStyle name="20% - 强调文字颜色 3 2" xfId="87"/>
    <cellStyle name="常规 2 4" xfId="88"/>
    <cellStyle name="20% - 强调文字颜色 3 4" xfId="89"/>
    <cellStyle name="60% - 强调文字颜色 1 2" xfId="90"/>
    <cellStyle name="注释 3" xfId="91"/>
    <cellStyle name="注释 4" xfId="92"/>
    <cellStyle name="20% - 强调文字颜色 3 5" xfId="93"/>
    <cellStyle name="40% - 强调文字颜色 3 2" xfId="94"/>
    <cellStyle name="强调文字颜色 3 2" xfId="95"/>
    <cellStyle name="输入 2" xfId="96"/>
    <cellStyle name="40% - 强调文字颜色 2 2" xfId="97"/>
    <cellStyle name="强调文字颜色 2 2" xfId="98"/>
    <cellStyle name="40% - 强调文字颜色 2 3" xfId="99"/>
    <cellStyle name="40% - 强调文字颜色 3 3" xfId="100"/>
    <cellStyle name="40% - 强调文字颜色 3 4" xfId="101"/>
    <cellStyle name="20% - 强调文字颜色 1 3" xfId="102"/>
    <cellStyle name="40% - 强调文字颜色 5 5" xfId="103"/>
    <cellStyle name="标题 4 2" xfId="104"/>
    <cellStyle name="常规 4 2" xfId="105"/>
    <cellStyle name="常规 11" xfId="106"/>
    <cellStyle name="40% - 强调文字颜色 3 5" xfId="107"/>
    <cellStyle name="好_RESULTS" xfId="108"/>
    <cellStyle name="常规 12" xfId="109"/>
    <cellStyle name="检查单元格 2" xfId="110"/>
    <cellStyle name="注释 2" xfId="111"/>
    <cellStyle name="常规_sdytjz2_1.1006鲁－烟台市－产险.与市场份额情况表（2007" xfId="112"/>
    <cellStyle name="警告文本 2" xfId="113"/>
    <cellStyle name="链接单元格 2" xfId="114"/>
    <cellStyle name="强调文字颜色 5 2" xfId="115"/>
    <cellStyle name="40% - 强调文字颜色 5 2" xfId="116"/>
    <cellStyle name="常规 9" xfId="117"/>
    <cellStyle name="40% - 强调文字颜色 1 4" xfId="118"/>
    <cellStyle name="40% - 强调文字颜色 1 3" xfId="119"/>
    <cellStyle name="解释性文本 2" xfId="120"/>
    <cellStyle name="40% - 强调文字颜色 1 2" xfId="121"/>
    <cellStyle name="强调文字颜色 1 2" xfId="122"/>
    <cellStyle name="40% - 强调文字颜色 1 5" xfId="123"/>
    <cellStyle name="常规 3" xfId="124"/>
    <cellStyle name="20% - 强调文字颜色 4 2" xfId="125"/>
    <cellStyle name="40% - 强调文字颜色 6 4" xfId="126"/>
    <cellStyle name="20% - 强调文字颜色 6 2" xfId="127"/>
    <cellStyle name="60% - 强调文字颜色 6 2" xfId="128"/>
    <cellStyle name="40% - 强调文字颜色 4 4" xfId="129"/>
    <cellStyle name="40% - 强调文字颜色 6 2" xfId="130"/>
    <cellStyle name="差_RESULTS" xfId="131"/>
    <cellStyle name="强调文字颜色 6 2" xfId="132"/>
    <cellStyle name="常规 2 2" xfId="133"/>
    <cellStyle name="标题 2 2" xfId="134"/>
    <cellStyle name="常规 10" xfId="135"/>
    <cellStyle name="60% - 强调文字颜色 5 2" xfId="136"/>
    <cellStyle name="常规 3 3" xfId="137"/>
    <cellStyle name="20% - 强调文字颜色 2 2" xfId="138"/>
    <cellStyle name="40% - 强调文字颜色 4 3" xfId="139"/>
    <cellStyle name="20% - 强调文字颜色 1 4" xfId="140"/>
    <cellStyle name="40% - 强调文字颜色 5 3" xfId="141"/>
    <cellStyle name="40% - 强调文字颜色 5 4" xfId="142"/>
    <cellStyle name="标题 1 2" xfId="143"/>
    <cellStyle name="40% - 强调文字颜色 4 5" xfId="144"/>
    <cellStyle name="40% - 强调文字颜色 6 3" xfId="145"/>
    <cellStyle name="常规 2" xfId="146"/>
    <cellStyle name="常规 2 3" xfId="147"/>
    <cellStyle name="汇总 2" xfId="148"/>
    <cellStyle name="常规 7" xfId="149"/>
  </cellStyles>
  <tableStyles count="0" defaultTableStyle="TableStyleMedium9" defaultPivotStyle="PivotStyleLight16"/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9702;&#36180;&#30452;&#25773;&#22885;\&#28493;&#22346;&#24066;&#36130;&#38505;&#20844;&#21496;&#36710;&#36742;&#20445;&#38505;&#29702;&#36180;&#26381;&#21153;&#36136;&#37327;&#27979;&#35780;&#32467;&#26524;&#65288;2024.1&#26376;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Sheet1"/>
      <sheetName val="测算稿 "/>
      <sheetName val="基础数"/>
    </sheetNames>
    <sheetDataSet>
      <sheetData sheetId="0"/>
      <sheetData sheetId="1"/>
      <sheetData sheetId="2">
        <row r="6">
          <cell r="Z6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opLeftCell="A7" workbookViewId="0">
      <selection activeCell="B3" sqref="B3:H42"/>
    </sheetView>
  </sheetViews>
  <sheetFormatPr defaultColWidth="8" defaultRowHeight="13.5"/>
  <cols>
    <col min="1" max="1" width="8" style="54"/>
    <col min="2" max="2" width="22" style="54" customWidth="1"/>
    <col min="3" max="3" width="20" style="54" customWidth="1"/>
    <col min="4" max="7" width="13.75" style="54" customWidth="1"/>
    <col min="8" max="9" width="13.25" style="54" customWidth="1"/>
    <col min="10" max="16384" width="8" style="54"/>
  </cols>
  <sheetData>
    <row r="1" ht="14.25" spans="2:12">
      <c r="B1" s="55" t="s">
        <v>0</v>
      </c>
      <c r="C1" s="55"/>
      <c r="D1" s="56" t="s">
        <v>1</v>
      </c>
      <c r="G1" s="57" t="s">
        <v>2</v>
      </c>
      <c r="K1" s="54" t="s">
        <v>3</v>
      </c>
      <c r="L1" s="54" t="s">
        <v>4</v>
      </c>
    </row>
    <row r="2" s="53" customFormat="1" ht="67.5" spans="2:13">
      <c r="B2" s="58" t="s">
        <v>5</v>
      </c>
      <c r="C2" s="59" t="s">
        <v>6</v>
      </c>
      <c r="D2" s="59" t="s">
        <v>7</v>
      </c>
      <c r="E2" s="59" t="s">
        <v>8</v>
      </c>
      <c r="F2" s="59" t="s">
        <v>9</v>
      </c>
      <c r="G2" s="59" t="s">
        <v>10</v>
      </c>
      <c r="H2" s="60" t="s">
        <v>11</v>
      </c>
      <c r="I2" s="69"/>
      <c r="K2" s="53" t="s">
        <v>12</v>
      </c>
      <c r="L2" s="53" t="s">
        <v>13</v>
      </c>
      <c r="M2" s="53" t="s">
        <v>14</v>
      </c>
    </row>
    <row r="3" spans="1:12">
      <c r="A3" s="54" t="str">
        <f t="shared" ref="A3:A41" si="0">LEFT(B3,2)</f>
        <v>人保</v>
      </c>
      <c r="B3" s="61" t="s">
        <v>15</v>
      </c>
      <c r="C3" s="62">
        <f>632755.97</f>
        <v>632755.97</v>
      </c>
      <c r="D3" s="62">
        <v>656120.161014</v>
      </c>
      <c r="E3" s="62">
        <f t="shared" ref="E3:E42" si="1">C3+D3</f>
        <v>1288876.131014</v>
      </c>
      <c r="F3" s="63">
        <v>240</v>
      </c>
      <c r="G3" s="62">
        <f>E3/10000</f>
        <v>128.8876131014</v>
      </c>
      <c r="H3" s="64">
        <f t="shared" ref="H3:H42" si="2">F3/G3</f>
        <v>1.86208739711228</v>
      </c>
      <c r="I3" s="70"/>
      <c r="J3" s="54" t="str">
        <f t="shared" ref="J3:J37" si="3">LEFT(K3,2)</f>
        <v>安邦</v>
      </c>
      <c r="K3" s="54" t="s">
        <v>16</v>
      </c>
      <c r="L3" s="54">
        <v>14</v>
      </c>
    </row>
    <row r="4" spans="1:12">
      <c r="A4" s="54" t="str">
        <f t="shared" si="0"/>
        <v>大地</v>
      </c>
      <c r="B4" s="65" t="s">
        <v>17</v>
      </c>
      <c r="C4" s="66">
        <f>100726.38</f>
        <v>100726.38</v>
      </c>
      <c r="D4" s="66">
        <v>101256.335962</v>
      </c>
      <c r="E4" s="66">
        <f t="shared" si="1"/>
        <v>201982.715962</v>
      </c>
      <c r="F4" s="63">
        <v>172</v>
      </c>
      <c r="G4" s="62">
        <f t="shared" ref="G4:G42" si="4">E4/10000</f>
        <v>20.1982715962</v>
      </c>
      <c r="H4" s="64">
        <f t="shared" si="2"/>
        <v>8.51558011688283</v>
      </c>
      <c r="I4" s="70"/>
      <c r="J4" s="54" t="str">
        <f t="shared" si="3"/>
        <v>安诚</v>
      </c>
      <c r="K4" s="54" t="s">
        <v>18</v>
      </c>
      <c r="L4" s="54">
        <v>12</v>
      </c>
    </row>
    <row r="5" spans="1:12">
      <c r="A5" s="54" t="str">
        <f t="shared" si="0"/>
        <v>中华</v>
      </c>
      <c r="B5" s="65" t="s">
        <v>19</v>
      </c>
      <c r="C5" s="66">
        <f>125764.11</f>
        <v>125764.11</v>
      </c>
      <c r="D5" s="66">
        <v>120423.269282</v>
      </c>
      <c r="E5" s="66">
        <f t="shared" si="1"/>
        <v>246187.379282</v>
      </c>
      <c r="F5" s="63">
        <v>45</v>
      </c>
      <c r="G5" s="62">
        <f t="shared" si="4"/>
        <v>24.6187379282</v>
      </c>
      <c r="H5" s="64">
        <f t="shared" si="2"/>
        <v>1.82787599150052</v>
      </c>
      <c r="I5" s="70"/>
      <c r="J5" s="54" t="str">
        <f t="shared" si="3"/>
        <v>安华</v>
      </c>
      <c r="K5" s="54" t="s">
        <v>20</v>
      </c>
      <c r="L5" s="54">
        <v>38</v>
      </c>
    </row>
    <row r="6" spans="1:12">
      <c r="A6" s="54" t="str">
        <f t="shared" si="0"/>
        <v>太保</v>
      </c>
      <c r="B6" s="65" t="s">
        <v>21</v>
      </c>
      <c r="C6" s="66">
        <f>212276.09</f>
        <v>212276.09</v>
      </c>
      <c r="D6" s="66">
        <v>196211.337258</v>
      </c>
      <c r="E6" s="66">
        <f t="shared" si="1"/>
        <v>408487.427258</v>
      </c>
      <c r="F6" s="63">
        <v>52</v>
      </c>
      <c r="G6" s="62">
        <f t="shared" si="4"/>
        <v>40.8487427258</v>
      </c>
      <c r="H6" s="64">
        <f t="shared" si="2"/>
        <v>1.27298899623554</v>
      </c>
      <c r="I6" s="70"/>
      <c r="J6" s="54" t="str">
        <f t="shared" si="3"/>
        <v>安盛</v>
      </c>
      <c r="K6" s="54" t="s">
        <v>22</v>
      </c>
      <c r="L6" s="54">
        <v>7</v>
      </c>
    </row>
    <row r="7" spans="1:12">
      <c r="A7" s="54" t="str">
        <f t="shared" si="0"/>
        <v>平安</v>
      </c>
      <c r="B7" s="65" t="s">
        <v>23</v>
      </c>
      <c r="C7" s="66">
        <f>396366.95</f>
        <v>396366.95</v>
      </c>
      <c r="D7" s="66">
        <v>382518.698933</v>
      </c>
      <c r="E7" s="66">
        <f t="shared" si="1"/>
        <v>778885.648933</v>
      </c>
      <c r="F7" s="63">
        <v>129</v>
      </c>
      <c r="G7" s="62">
        <f t="shared" si="4"/>
        <v>77.8885648933</v>
      </c>
      <c r="H7" s="64">
        <f t="shared" si="2"/>
        <v>1.65621231019878</v>
      </c>
      <c r="I7" s="70"/>
      <c r="J7" s="54" t="str">
        <f t="shared" si="3"/>
        <v>渤海</v>
      </c>
      <c r="K7" s="54" t="s">
        <v>24</v>
      </c>
      <c r="L7" s="54">
        <v>13</v>
      </c>
    </row>
    <row r="8" spans="1:12">
      <c r="A8" s="54" t="str">
        <f t="shared" si="0"/>
        <v>华泰</v>
      </c>
      <c r="B8" s="65" t="s">
        <v>25</v>
      </c>
      <c r="C8" s="66">
        <f>13517.3</f>
        <v>13517.3</v>
      </c>
      <c r="D8" s="66">
        <v>14294.985174</v>
      </c>
      <c r="E8" s="66">
        <f t="shared" si="1"/>
        <v>27812.285174</v>
      </c>
      <c r="F8" s="63">
        <v>11</v>
      </c>
      <c r="G8" s="62">
        <f t="shared" si="4"/>
        <v>2.7812285174</v>
      </c>
      <c r="H8" s="64">
        <f t="shared" si="2"/>
        <v>3.95508672918514</v>
      </c>
      <c r="I8" s="70"/>
      <c r="J8" s="54" t="str">
        <f t="shared" si="3"/>
        <v>大地</v>
      </c>
      <c r="K8" s="54" t="s">
        <v>26</v>
      </c>
      <c r="L8" s="54">
        <v>172</v>
      </c>
    </row>
    <row r="9" spans="1:12">
      <c r="A9" s="54" t="str">
        <f t="shared" si="0"/>
        <v>天安</v>
      </c>
      <c r="B9" s="65" t="s">
        <v>27</v>
      </c>
      <c r="C9" s="66">
        <f>54360.5</f>
        <v>54360.5</v>
      </c>
      <c r="D9" s="66">
        <v>54512.165328</v>
      </c>
      <c r="E9" s="66">
        <f t="shared" si="1"/>
        <v>108872.665328</v>
      </c>
      <c r="F9" s="63">
        <v>52</v>
      </c>
      <c r="G9" s="62">
        <f t="shared" si="4"/>
        <v>10.8872665328</v>
      </c>
      <c r="H9" s="64">
        <f t="shared" si="2"/>
        <v>4.77622182237754</v>
      </c>
      <c r="I9" s="70"/>
      <c r="J9" s="54" t="str">
        <f t="shared" si="3"/>
        <v>鼎和</v>
      </c>
      <c r="K9" s="54" t="s">
        <v>28</v>
      </c>
      <c r="L9" s="54">
        <v>4</v>
      </c>
    </row>
    <row r="10" spans="1:12">
      <c r="A10" s="54" t="str">
        <f t="shared" si="0"/>
        <v>华安</v>
      </c>
      <c r="B10" s="65" t="s">
        <v>29</v>
      </c>
      <c r="C10" s="66">
        <f>28707.99</f>
        <v>28707.99</v>
      </c>
      <c r="D10" s="66">
        <v>30817.846459</v>
      </c>
      <c r="E10" s="66">
        <f t="shared" si="1"/>
        <v>59525.836459</v>
      </c>
      <c r="F10" s="63">
        <v>39</v>
      </c>
      <c r="G10" s="62">
        <f t="shared" si="4"/>
        <v>5.9525836459</v>
      </c>
      <c r="H10" s="64">
        <f t="shared" si="2"/>
        <v>6.55177689554388</v>
      </c>
      <c r="I10" s="70"/>
      <c r="J10" s="54" t="str">
        <f t="shared" si="3"/>
        <v>都邦</v>
      </c>
      <c r="K10" s="54" t="s">
        <v>30</v>
      </c>
      <c r="L10" s="54">
        <v>8</v>
      </c>
    </row>
    <row r="11" spans="1:12">
      <c r="A11" s="54" t="str">
        <f t="shared" si="0"/>
        <v>永安</v>
      </c>
      <c r="B11" s="65" t="s">
        <v>31</v>
      </c>
      <c r="C11" s="66">
        <f>28256.37</f>
        <v>28256.37</v>
      </c>
      <c r="D11" s="66">
        <v>35073.150251</v>
      </c>
      <c r="E11" s="66">
        <f t="shared" si="1"/>
        <v>63329.520251</v>
      </c>
      <c r="F11" s="63">
        <v>14</v>
      </c>
      <c r="G11" s="62">
        <f t="shared" si="4"/>
        <v>6.3329520251</v>
      </c>
      <c r="H11" s="64">
        <f t="shared" si="2"/>
        <v>2.21065941199498</v>
      </c>
      <c r="I11" s="70"/>
      <c r="J11" s="54" t="str">
        <f t="shared" si="3"/>
        <v>国任</v>
      </c>
      <c r="K11" s="54" t="s">
        <v>32</v>
      </c>
      <c r="L11" s="54">
        <v>8</v>
      </c>
    </row>
    <row r="12" spans="1:12">
      <c r="A12" s="54" t="str">
        <f t="shared" si="0"/>
        <v>太平</v>
      </c>
      <c r="B12" s="65" t="s">
        <v>33</v>
      </c>
      <c r="C12" s="66">
        <f>80978.7</f>
        <v>80978.7</v>
      </c>
      <c r="D12" s="66">
        <v>80321.035462</v>
      </c>
      <c r="E12" s="66">
        <f t="shared" si="1"/>
        <v>161299.735462</v>
      </c>
      <c r="F12" s="63">
        <v>19</v>
      </c>
      <c r="G12" s="62">
        <f t="shared" si="4"/>
        <v>16.1299735462</v>
      </c>
      <c r="H12" s="64">
        <f t="shared" si="2"/>
        <v>1.17793125609162</v>
      </c>
      <c r="I12" s="70"/>
      <c r="J12" s="54" t="str">
        <f t="shared" si="3"/>
        <v>国寿</v>
      </c>
      <c r="K12" s="54" t="s">
        <v>34</v>
      </c>
      <c r="L12" s="54">
        <v>182</v>
      </c>
    </row>
    <row r="13" spans="1:12">
      <c r="A13" s="54" t="str">
        <f t="shared" si="0"/>
        <v>亚太</v>
      </c>
      <c r="B13" s="65" t="s">
        <v>35</v>
      </c>
      <c r="C13" s="66">
        <f>36711.83</f>
        <v>36711.83</v>
      </c>
      <c r="D13" s="66">
        <v>38858.330736</v>
      </c>
      <c r="E13" s="66">
        <f t="shared" si="1"/>
        <v>75570.160736</v>
      </c>
      <c r="F13" s="63">
        <v>26</v>
      </c>
      <c r="G13" s="62">
        <f t="shared" si="4"/>
        <v>7.5570160736</v>
      </c>
      <c r="H13" s="64">
        <f t="shared" si="2"/>
        <v>3.44051140645704</v>
      </c>
      <c r="I13" s="70"/>
      <c r="J13" s="54" t="str">
        <f t="shared" si="3"/>
        <v>华安</v>
      </c>
      <c r="K13" s="54" t="s">
        <v>36</v>
      </c>
      <c r="L13" s="54">
        <v>39</v>
      </c>
    </row>
    <row r="14" spans="1:12">
      <c r="A14" s="54" t="str">
        <f t="shared" si="0"/>
        <v>中银</v>
      </c>
      <c r="B14" s="65" t="s">
        <v>37</v>
      </c>
      <c r="C14" s="66">
        <f>2696.55</f>
        <v>2696.55</v>
      </c>
      <c r="D14" s="66">
        <v>2964.469365</v>
      </c>
      <c r="E14" s="66">
        <f t="shared" si="1"/>
        <v>5661.019365</v>
      </c>
      <c r="F14" s="63">
        <v>1</v>
      </c>
      <c r="G14" s="62">
        <f t="shared" si="4"/>
        <v>0.5661019365</v>
      </c>
      <c r="H14" s="64">
        <f t="shared" si="2"/>
        <v>1.76646631202612</v>
      </c>
      <c r="I14" s="70"/>
      <c r="J14" s="54" t="str">
        <f t="shared" si="3"/>
        <v>华海</v>
      </c>
      <c r="K14" s="54" t="s">
        <v>38</v>
      </c>
      <c r="L14" s="54">
        <v>39</v>
      </c>
    </row>
    <row r="15" spans="1:12">
      <c r="A15" s="54" t="str">
        <f t="shared" si="0"/>
        <v>利宝</v>
      </c>
      <c r="B15" s="65" t="s">
        <v>39</v>
      </c>
      <c r="C15" s="66">
        <f>11799.96</f>
        <v>11799.96</v>
      </c>
      <c r="D15" s="66">
        <v>12408.1278</v>
      </c>
      <c r="E15" s="66">
        <f t="shared" si="1"/>
        <v>24208.0878</v>
      </c>
      <c r="F15" s="63">
        <v>12</v>
      </c>
      <c r="G15" s="62">
        <f t="shared" si="4"/>
        <v>2.42080878</v>
      </c>
      <c r="H15" s="64">
        <f t="shared" si="2"/>
        <v>4.95702101675292</v>
      </c>
      <c r="I15" s="70"/>
      <c r="J15" s="54" t="str">
        <f t="shared" si="3"/>
        <v>华泰</v>
      </c>
      <c r="K15" s="54" t="s">
        <v>40</v>
      </c>
      <c r="L15" s="54">
        <v>11</v>
      </c>
    </row>
    <row r="16" spans="1:12">
      <c r="A16" s="54" t="str">
        <f t="shared" si="0"/>
        <v>永诚</v>
      </c>
      <c r="B16" s="65" t="s">
        <v>41</v>
      </c>
      <c r="C16" s="66">
        <f>8998.82</f>
        <v>8998.82</v>
      </c>
      <c r="D16" s="66">
        <v>10479.734403</v>
      </c>
      <c r="E16" s="66">
        <f t="shared" si="1"/>
        <v>19478.554403</v>
      </c>
      <c r="F16" s="63">
        <v>17</v>
      </c>
      <c r="G16" s="62">
        <f t="shared" si="4"/>
        <v>1.9478554403</v>
      </c>
      <c r="H16" s="64">
        <f t="shared" si="2"/>
        <v>8.72754704906732</v>
      </c>
      <c r="I16" s="70"/>
      <c r="J16" s="54" t="str">
        <f t="shared" si="3"/>
        <v>利宝</v>
      </c>
      <c r="K16" s="54" t="s">
        <v>42</v>
      </c>
      <c r="L16" s="54">
        <v>12</v>
      </c>
    </row>
    <row r="17" spans="1:12">
      <c r="A17" s="54" t="str">
        <f t="shared" si="0"/>
        <v>安邦</v>
      </c>
      <c r="B17" s="65" t="s">
        <v>43</v>
      </c>
      <c r="C17" s="66">
        <f>5259.88</f>
        <v>5259.88</v>
      </c>
      <c r="D17" s="66">
        <v>6627.216375</v>
      </c>
      <c r="E17" s="66">
        <f t="shared" si="1"/>
        <v>11887.096375</v>
      </c>
      <c r="F17" s="63">
        <v>14</v>
      </c>
      <c r="G17" s="62">
        <f t="shared" si="4"/>
        <v>1.1887096375</v>
      </c>
      <c r="H17" s="64">
        <f t="shared" si="2"/>
        <v>11.7774766506005</v>
      </c>
      <c r="I17" s="70"/>
      <c r="J17" s="54" t="str">
        <f t="shared" si="3"/>
        <v>平安</v>
      </c>
      <c r="K17" s="54" t="s">
        <v>44</v>
      </c>
      <c r="L17" s="54">
        <v>79</v>
      </c>
    </row>
    <row r="18" spans="1:12">
      <c r="A18" s="54" t="str">
        <f t="shared" si="0"/>
        <v>国任</v>
      </c>
      <c r="B18" s="65" t="s">
        <v>45</v>
      </c>
      <c r="C18" s="66">
        <f>16135.94</f>
        <v>16135.94</v>
      </c>
      <c r="D18" s="66">
        <v>26756.176732</v>
      </c>
      <c r="E18" s="66">
        <f t="shared" si="1"/>
        <v>42892.116732</v>
      </c>
      <c r="F18" s="63">
        <v>8</v>
      </c>
      <c r="G18" s="62">
        <f t="shared" si="4"/>
        <v>4.2892116732</v>
      </c>
      <c r="H18" s="64">
        <f t="shared" si="2"/>
        <v>1.86514460220881</v>
      </c>
      <c r="I18" s="70"/>
      <c r="J18" s="54" t="str">
        <f t="shared" si="3"/>
        <v>平安</v>
      </c>
      <c r="K18" s="54" t="s">
        <v>46</v>
      </c>
      <c r="L18" s="54">
        <v>50</v>
      </c>
    </row>
    <row r="19" spans="1:12">
      <c r="A19" s="54" t="str">
        <f t="shared" si="0"/>
        <v>安华</v>
      </c>
      <c r="B19" s="65" t="s">
        <v>47</v>
      </c>
      <c r="C19" s="66">
        <f>51605.66</f>
        <v>51605.66</v>
      </c>
      <c r="D19" s="66">
        <v>38118.262784</v>
      </c>
      <c r="E19" s="66">
        <f t="shared" si="1"/>
        <v>89723.922784</v>
      </c>
      <c r="F19" s="63">
        <v>38</v>
      </c>
      <c r="G19" s="62">
        <f t="shared" si="4"/>
        <v>8.9723922784</v>
      </c>
      <c r="H19" s="64">
        <f t="shared" si="2"/>
        <v>4.23521384497205</v>
      </c>
      <c r="I19" s="70"/>
      <c r="J19" s="54" t="str">
        <f t="shared" si="3"/>
        <v>人保</v>
      </c>
      <c r="K19" s="54" t="s">
        <v>48</v>
      </c>
      <c r="L19" s="54">
        <v>240</v>
      </c>
    </row>
    <row r="20" spans="1:12">
      <c r="A20" s="54" t="str">
        <f t="shared" si="0"/>
        <v>安盛</v>
      </c>
      <c r="B20" s="65" t="s">
        <v>49</v>
      </c>
      <c r="C20" s="66">
        <f>53377.24</f>
        <v>53377.24</v>
      </c>
      <c r="D20" s="66">
        <v>76349.807459</v>
      </c>
      <c r="E20" s="66">
        <f t="shared" si="1"/>
        <v>129727.047459</v>
      </c>
      <c r="F20" s="63">
        <v>7</v>
      </c>
      <c r="G20" s="62">
        <f t="shared" si="4"/>
        <v>12.9727047459</v>
      </c>
      <c r="H20" s="64">
        <f t="shared" si="2"/>
        <v>0.539594489900985</v>
      </c>
      <c r="I20" s="70"/>
      <c r="J20" s="54" t="str">
        <f t="shared" si="3"/>
        <v>太平</v>
      </c>
      <c r="K20" s="54" t="s">
        <v>50</v>
      </c>
      <c r="L20" s="54">
        <v>19</v>
      </c>
    </row>
    <row r="21" spans="1:12">
      <c r="A21" s="54" t="str">
        <f t="shared" si="0"/>
        <v>阳光</v>
      </c>
      <c r="B21" s="65" t="s">
        <v>51</v>
      </c>
      <c r="C21" s="66">
        <f>163439.43</f>
        <v>163439.43</v>
      </c>
      <c r="D21" s="66">
        <v>137317.962754</v>
      </c>
      <c r="E21" s="66">
        <f t="shared" si="1"/>
        <v>300757.392754</v>
      </c>
      <c r="F21" s="63">
        <v>52</v>
      </c>
      <c r="G21" s="62">
        <f t="shared" si="4"/>
        <v>30.0757392754</v>
      </c>
      <c r="H21" s="64">
        <f t="shared" si="2"/>
        <v>1.72896830644268</v>
      </c>
      <c r="I21" s="70"/>
      <c r="J21" s="54" t="str">
        <f t="shared" si="3"/>
        <v>太平</v>
      </c>
      <c r="K21" s="54" t="s">
        <v>52</v>
      </c>
      <c r="L21" s="54">
        <v>52</v>
      </c>
    </row>
    <row r="22" spans="1:12">
      <c r="A22" s="54" t="str">
        <f t="shared" si="0"/>
        <v>都邦</v>
      </c>
      <c r="B22" s="65" t="s">
        <v>53</v>
      </c>
      <c r="C22" s="66">
        <f>9125.58</f>
        <v>9125.58</v>
      </c>
      <c r="D22" s="66">
        <v>8283.326634</v>
      </c>
      <c r="E22" s="66">
        <f t="shared" si="1"/>
        <v>17408.906634</v>
      </c>
      <c r="F22" s="63">
        <v>8</v>
      </c>
      <c r="G22" s="62">
        <f t="shared" si="4"/>
        <v>1.7408906634</v>
      </c>
      <c r="H22" s="64">
        <f t="shared" si="2"/>
        <v>4.59534890282875</v>
      </c>
      <c r="I22" s="70"/>
      <c r="J22" s="54" t="str">
        <f t="shared" si="3"/>
        <v>泰山</v>
      </c>
      <c r="K22" s="54" t="s">
        <v>54</v>
      </c>
      <c r="L22" s="54">
        <v>7</v>
      </c>
    </row>
    <row r="23" spans="1:12">
      <c r="A23" s="54" t="str">
        <f t="shared" si="0"/>
        <v>渤海</v>
      </c>
      <c r="B23" s="65" t="s">
        <v>55</v>
      </c>
      <c r="C23" s="66">
        <f>20615.63</f>
        <v>20615.63</v>
      </c>
      <c r="D23" s="66">
        <v>21729.904454</v>
      </c>
      <c r="E23" s="66">
        <f t="shared" si="1"/>
        <v>42345.534454</v>
      </c>
      <c r="F23" s="63">
        <v>13</v>
      </c>
      <c r="G23" s="62">
        <f t="shared" si="4"/>
        <v>4.2345534454</v>
      </c>
      <c r="H23" s="64">
        <f t="shared" si="2"/>
        <v>3.06998132568663</v>
      </c>
      <c r="I23" s="70"/>
      <c r="J23" s="54" t="str">
        <f t="shared" si="3"/>
        <v>天安</v>
      </c>
      <c r="K23" s="54" t="s">
        <v>56</v>
      </c>
      <c r="L23" s="54">
        <v>52</v>
      </c>
    </row>
    <row r="24" spans="1:12">
      <c r="A24" s="54" t="str">
        <f t="shared" si="0"/>
        <v>国寿</v>
      </c>
      <c r="B24" s="65" t="s">
        <v>57</v>
      </c>
      <c r="C24" s="66">
        <f>170841.91</f>
        <v>170841.91</v>
      </c>
      <c r="D24" s="66">
        <v>163294.665289</v>
      </c>
      <c r="E24" s="66">
        <f t="shared" si="1"/>
        <v>334136.575289</v>
      </c>
      <c r="F24" s="63">
        <v>182</v>
      </c>
      <c r="G24" s="62">
        <f t="shared" si="4"/>
        <v>33.4136575289</v>
      </c>
      <c r="H24" s="64">
        <f t="shared" si="2"/>
        <v>5.44687452556145</v>
      </c>
      <c r="I24" s="70"/>
      <c r="J24" s="54" t="str">
        <f t="shared" si="3"/>
        <v>鑫安</v>
      </c>
      <c r="K24" s="54" t="s">
        <v>58</v>
      </c>
      <c r="L24" s="54">
        <v>1</v>
      </c>
    </row>
    <row r="25" spans="1:12">
      <c r="A25" s="54" t="str">
        <f t="shared" si="0"/>
        <v>安诚</v>
      </c>
      <c r="B25" s="65" t="s">
        <v>59</v>
      </c>
      <c r="C25" s="66">
        <f>27160.41</f>
        <v>27160.41</v>
      </c>
      <c r="D25" s="66">
        <v>26298.22358</v>
      </c>
      <c r="E25" s="66">
        <f t="shared" si="1"/>
        <v>53458.63358</v>
      </c>
      <c r="F25" s="63">
        <v>12</v>
      </c>
      <c r="G25" s="62">
        <f t="shared" si="4"/>
        <v>5.345863358</v>
      </c>
      <c r="H25" s="64">
        <f t="shared" si="2"/>
        <v>2.24472628580044</v>
      </c>
      <c r="I25" s="70"/>
      <c r="J25" s="54" t="str">
        <f t="shared" si="3"/>
        <v>亚太</v>
      </c>
      <c r="K25" s="54" t="s">
        <v>60</v>
      </c>
      <c r="L25" s="54">
        <v>26</v>
      </c>
    </row>
    <row r="26" spans="1:12">
      <c r="A26" s="54" t="str">
        <f t="shared" si="0"/>
        <v>长安</v>
      </c>
      <c r="B26" s="65" t="s">
        <v>61</v>
      </c>
      <c r="C26" s="66">
        <f>17266.22</f>
        <v>17266.22</v>
      </c>
      <c r="D26" s="66">
        <v>14810.836075</v>
      </c>
      <c r="E26" s="66">
        <f t="shared" si="1"/>
        <v>32077.056075</v>
      </c>
      <c r="F26" s="63">
        <v>6</v>
      </c>
      <c r="G26" s="62">
        <f t="shared" si="4"/>
        <v>3.2077056075</v>
      </c>
      <c r="H26" s="64">
        <f t="shared" si="2"/>
        <v>1.87049584162938</v>
      </c>
      <c r="I26" s="70"/>
      <c r="J26" s="54" t="str">
        <f t="shared" si="3"/>
        <v>阳光</v>
      </c>
      <c r="K26" s="54" t="s">
        <v>62</v>
      </c>
      <c r="L26" s="54">
        <v>52</v>
      </c>
    </row>
    <row r="27" spans="1:12">
      <c r="A27" s="54" t="str">
        <f t="shared" si="0"/>
        <v>国元</v>
      </c>
      <c r="B27" s="65" t="s">
        <v>63</v>
      </c>
      <c r="C27" s="66">
        <f>73.08</f>
        <v>73.08</v>
      </c>
      <c r="D27" s="66">
        <v>0</v>
      </c>
      <c r="E27" s="66">
        <f t="shared" si="1"/>
        <v>73.08</v>
      </c>
      <c r="F27" s="63">
        <v>0</v>
      </c>
      <c r="G27" s="62">
        <f t="shared" si="4"/>
        <v>0.007308</v>
      </c>
      <c r="H27" s="64">
        <f t="shared" si="2"/>
        <v>0</v>
      </c>
      <c r="I27" s="70"/>
      <c r="J27" s="54" t="str">
        <f t="shared" si="3"/>
        <v>英大</v>
      </c>
      <c r="K27" s="54" t="s">
        <v>64</v>
      </c>
      <c r="L27" s="54">
        <v>4</v>
      </c>
    </row>
    <row r="28" spans="1:12">
      <c r="A28" s="54" t="str">
        <f t="shared" si="0"/>
        <v>鼎和</v>
      </c>
      <c r="B28" s="65" t="s">
        <v>65</v>
      </c>
      <c r="C28" s="66">
        <f>5565.01</f>
        <v>5565.01</v>
      </c>
      <c r="D28" s="66">
        <v>4954.896517</v>
      </c>
      <c r="E28" s="66">
        <f t="shared" si="1"/>
        <v>10519.906517</v>
      </c>
      <c r="F28" s="63">
        <v>4</v>
      </c>
      <c r="G28" s="62">
        <f t="shared" si="4"/>
        <v>1.0519906517</v>
      </c>
      <c r="H28" s="64">
        <f t="shared" si="2"/>
        <v>3.80231515701785</v>
      </c>
      <c r="I28" s="70"/>
      <c r="J28" s="54" t="str">
        <f t="shared" si="3"/>
        <v>永安</v>
      </c>
      <c r="K28" s="54" t="s">
        <v>66</v>
      </c>
      <c r="L28" s="54">
        <v>14</v>
      </c>
    </row>
    <row r="29" spans="1:12">
      <c r="A29" s="54" t="str">
        <f t="shared" si="0"/>
        <v>中煤</v>
      </c>
      <c r="B29" s="65" t="s">
        <v>67</v>
      </c>
      <c r="C29" s="66">
        <f>9872.42</f>
        <v>9872.42</v>
      </c>
      <c r="D29" s="66">
        <v>8181.437247</v>
      </c>
      <c r="E29" s="66">
        <f t="shared" si="1"/>
        <v>18053.857247</v>
      </c>
      <c r="F29" s="63">
        <v>2</v>
      </c>
      <c r="G29" s="62">
        <f t="shared" si="4"/>
        <v>1.8053857247</v>
      </c>
      <c r="H29" s="64">
        <f t="shared" si="2"/>
        <v>1.10779650721584</v>
      </c>
      <c r="I29" s="70"/>
      <c r="J29" s="54" t="str">
        <f t="shared" si="3"/>
        <v>永诚</v>
      </c>
      <c r="K29" s="54" t="s">
        <v>68</v>
      </c>
      <c r="L29" s="54">
        <v>17</v>
      </c>
    </row>
    <row r="30" spans="1:12">
      <c r="A30" s="54" t="str">
        <f t="shared" si="0"/>
        <v>国泰</v>
      </c>
      <c r="B30" s="65" t="s">
        <v>69</v>
      </c>
      <c r="C30" s="66">
        <f>2278.63</f>
        <v>2278.63</v>
      </c>
      <c r="D30" s="66">
        <v>2178.532727</v>
      </c>
      <c r="E30" s="66">
        <f t="shared" si="1"/>
        <v>4457.162727</v>
      </c>
      <c r="F30" s="63">
        <v>0</v>
      </c>
      <c r="G30" s="62">
        <f t="shared" si="4"/>
        <v>0.4457162727</v>
      </c>
      <c r="H30" s="64">
        <f t="shared" si="2"/>
        <v>0</v>
      </c>
      <c r="I30" s="70"/>
      <c r="J30" s="54" t="str">
        <f t="shared" si="3"/>
        <v>长安</v>
      </c>
      <c r="K30" s="54" t="s">
        <v>70</v>
      </c>
      <c r="L30" s="54">
        <v>6</v>
      </c>
    </row>
    <row r="31" spans="1:12">
      <c r="A31" s="54" t="str">
        <f t="shared" si="0"/>
        <v>英大</v>
      </c>
      <c r="B31" s="65" t="s">
        <v>71</v>
      </c>
      <c r="C31" s="66">
        <f>6222.68</f>
        <v>6222.68</v>
      </c>
      <c r="D31" s="66">
        <v>7803.871488</v>
      </c>
      <c r="E31" s="66">
        <f t="shared" si="1"/>
        <v>14026.551488</v>
      </c>
      <c r="F31" s="63">
        <v>4</v>
      </c>
      <c r="G31" s="62">
        <f t="shared" si="4"/>
        <v>1.4026551488</v>
      </c>
      <c r="H31" s="64">
        <f t="shared" si="2"/>
        <v>2.8517344433677</v>
      </c>
      <c r="I31" s="70"/>
      <c r="J31" s="54" t="str">
        <f t="shared" si="3"/>
        <v>长江</v>
      </c>
      <c r="K31" s="54" t="s">
        <v>72</v>
      </c>
      <c r="L31" s="54">
        <v>13</v>
      </c>
    </row>
    <row r="32" spans="1:12">
      <c r="A32" s="54" t="str">
        <f t="shared" si="0"/>
        <v>浙商</v>
      </c>
      <c r="B32" s="65" t="s">
        <v>73</v>
      </c>
      <c r="C32" s="66">
        <f>46893.56</f>
        <v>46893.56</v>
      </c>
      <c r="D32" s="66">
        <v>39968.132799</v>
      </c>
      <c r="E32" s="66">
        <f t="shared" si="1"/>
        <v>86861.692799</v>
      </c>
      <c r="F32" s="63">
        <v>17</v>
      </c>
      <c r="G32" s="62">
        <f t="shared" si="4"/>
        <v>8.6861692799</v>
      </c>
      <c r="H32" s="64">
        <f t="shared" si="2"/>
        <v>1.95713431919159</v>
      </c>
      <c r="I32" s="70"/>
      <c r="J32" s="54" t="str">
        <f t="shared" si="3"/>
        <v>浙商</v>
      </c>
      <c r="K32" s="54" t="s">
        <v>74</v>
      </c>
      <c r="L32" s="54">
        <v>17</v>
      </c>
    </row>
    <row r="33" spans="1:12">
      <c r="A33" s="54" t="str">
        <f t="shared" si="0"/>
        <v>紫金</v>
      </c>
      <c r="B33" s="65" t="s">
        <v>75</v>
      </c>
      <c r="C33" s="66">
        <f>18401.87</f>
        <v>18401.87</v>
      </c>
      <c r="D33" s="66">
        <v>17733.889811</v>
      </c>
      <c r="E33" s="66">
        <f t="shared" si="1"/>
        <v>36135.759811</v>
      </c>
      <c r="F33" s="63">
        <v>10</v>
      </c>
      <c r="G33" s="62">
        <f t="shared" si="4"/>
        <v>3.6135759811</v>
      </c>
      <c r="H33" s="64">
        <f t="shared" si="2"/>
        <v>2.76734183874997</v>
      </c>
      <c r="I33" s="70"/>
      <c r="J33" s="54" t="str">
        <f t="shared" si="3"/>
        <v>中华</v>
      </c>
      <c r="K33" s="54" t="s">
        <v>76</v>
      </c>
      <c r="L33" s="54">
        <v>45</v>
      </c>
    </row>
    <row r="34" spans="1:12">
      <c r="A34" s="54" t="str">
        <f t="shared" si="0"/>
        <v>泰山</v>
      </c>
      <c r="B34" s="65" t="s">
        <v>77</v>
      </c>
      <c r="C34" s="66">
        <f>26606.78</f>
        <v>26606.78</v>
      </c>
      <c r="D34" s="66">
        <v>26082.205713</v>
      </c>
      <c r="E34" s="66">
        <f t="shared" si="1"/>
        <v>52688.985713</v>
      </c>
      <c r="F34" s="63">
        <v>7</v>
      </c>
      <c r="G34" s="62">
        <f t="shared" si="4"/>
        <v>5.2688985713</v>
      </c>
      <c r="H34" s="64">
        <f t="shared" si="2"/>
        <v>1.32855091159458</v>
      </c>
      <c r="I34" s="70"/>
      <c r="J34" s="54" t="str">
        <f t="shared" si="3"/>
        <v>中路</v>
      </c>
      <c r="K34" s="54" t="s">
        <v>78</v>
      </c>
      <c r="L34" s="54">
        <v>15</v>
      </c>
    </row>
    <row r="35" spans="1:12">
      <c r="A35" s="54" t="str">
        <f t="shared" si="0"/>
        <v>众诚</v>
      </c>
      <c r="B35" s="65" t="s">
        <v>79</v>
      </c>
      <c r="C35" s="66">
        <f>2042.67</f>
        <v>2042.67</v>
      </c>
      <c r="D35" s="66">
        <v>2340.095617</v>
      </c>
      <c r="E35" s="66">
        <f t="shared" si="1"/>
        <v>4382.765617</v>
      </c>
      <c r="F35" s="63">
        <v>0</v>
      </c>
      <c r="G35" s="62">
        <f t="shared" si="4"/>
        <v>0.4382765617</v>
      </c>
      <c r="H35" s="64">
        <f t="shared" si="2"/>
        <v>0</v>
      </c>
      <c r="I35" s="70"/>
      <c r="J35" s="54" t="str">
        <f t="shared" si="3"/>
        <v>中煤</v>
      </c>
      <c r="K35" s="54" t="s">
        <v>80</v>
      </c>
      <c r="L35" s="54">
        <v>2</v>
      </c>
    </row>
    <row r="36" spans="1:12">
      <c r="A36" s="54" t="str">
        <f t="shared" si="0"/>
        <v>长江</v>
      </c>
      <c r="B36" s="65" t="s">
        <v>81</v>
      </c>
      <c r="C36" s="66">
        <f>7674.98</f>
        <v>7674.98</v>
      </c>
      <c r="D36" s="66">
        <v>4689.185939</v>
      </c>
      <c r="E36" s="66">
        <f t="shared" si="1"/>
        <v>12364.165939</v>
      </c>
      <c r="F36" s="63">
        <v>13</v>
      </c>
      <c r="G36" s="62">
        <f t="shared" si="4"/>
        <v>1.2364165939</v>
      </c>
      <c r="H36" s="64">
        <f t="shared" si="2"/>
        <v>10.5142555220764</v>
      </c>
      <c r="I36" s="70"/>
      <c r="J36" s="54" t="str">
        <f t="shared" si="3"/>
        <v>中银</v>
      </c>
      <c r="K36" s="54" t="s">
        <v>82</v>
      </c>
      <c r="L36" s="54">
        <v>1</v>
      </c>
    </row>
    <row r="37" spans="1:12">
      <c r="A37" s="54" t="str">
        <f t="shared" si="0"/>
        <v>鑫安</v>
      </c>
      <c r="B37" s="65" t="s">
        <v>83</v>
      </c>
      <c r="C37" s="66">
        <f>1638.27</f>
        <v>1638.27</v>
      </c>
      <c r="D37" s="66">
        <v>1316.650179</v>
      </c>
      <c r="E37" s="66">
        <f t="shared" si="1"/>
        <v>2954.920179</v>
      </c>
      <c r="F37" s="63">
        <v>1</v>
      </c>
      <c r="G37" s="62">
        <f t="shared" si="4"/>
        <v>0.2954920179</v>
      </c>
      <c r="H37" s="64">
        <f t="shared" si="2"/>
        <v>3.38418616890836</v>
      </c>
      <c r="I37" s="70"/>
      <c r="J37" s="54" t="str">
        <f t="shared" si="3"/>
        <v>紫金</v>
      </c>
      <c r="K37" s="54" t="s">
        <v>84</v>
      </c>
      <c r="L37" s="54">
        <v>10</v>
      </c>
    </row>
    <row r="38" spans="1:12">
      <c r="A38" s="54" t="str">
        <f t="shared" si="0"/>
        <v>众安</v>
      </c>
      <c r="B38" s="65" t="s">
        <v>85</v>
      </c>
      <c r="C38" s="66">
        <f>1803.33</f>
        <v>1803.33</v>
      </c>
      <c r="D38" s="66">
        <v>3257.725273</v>
      </c>
      <c r="E38" s="66">
        <f t="shared" si="1"/>
        <v>5061.055273</v>
      </c>
      <c r="F38" s="63">
        <v>0</v>
      </c>
      <c r="G38" s="62">
        <f t="shared" si="4"/>
        <v>0.5061055273</v>
      </c>
      <c r="H38" s="64">
        <f t="shared" si="2"/>
        <v>0</v>
      </c>
      <c r="I38" s="70"/>
      <c r="K38" s="54" t="s">
        <v>86</v>
      </c>
      <c r="L38" s="54">
        <v>1281</v>
      </c>
    </row>
    <row r="39" spans="1:9">
      <c r="A39" s="54" t="str">
        <f t="shared" si="0"/>
        <v>华海</v>
      </c>
      <c r="B39" s="65" t="s">
        <v>87</v>
      </c>
      <c r="C39" s="66">
        <f>76589.85</f>
        <v>76589.85</v>
      </c>
      <c r="D39" s="66">
        <v>85712.4361</v>
      </c>
      <c r="E39" s="66">
        <f t="shared" si="1"/>
        <v>162302.2861</v>
      </c>
      <c r="F39" s="63">
        <v>39</v>
      </c>
      <c r="G39" s="62">
        <f t="shared" si="4"/>
        <v>16.23022861</v>
      </c>
      <c r="H39" s="64">
        <f t="shared" si="2"/>
        <v>2.40292363941015</v>
      </c>
      <c r="I39" s="70"/>
    </row>
    <row r="40" spans="1:9">
      <c r="A40" s="54" t="str">
        <f t="shared" si="0"/>
        <v>中路</v>
      </c>
      <c r="B40" s="65" t="s">
        <v>88</v>
      </c>
      <c r="C40" s="66">
        <f>14095.06</f>
        <v>14095.06</v>
      </c>
      <c r="D40" s="66">
        <v>13339.046704</v>
      </c>
      <c r="E40" s="66">
        <f t="shared" si="1"/>
        <v>27434.106704</v>
      </c>
      <c r="F40" s="63">
        <v>15</v>
      </c>
      <c r="G40" s="62">
        <f t="shared" si="4"/>
        <v>2.7434106704</v>
      </c>
      <c r="H40" s="64">
        <f t="shared" si="2"/>
        <v>5.46764659110003</v>
      </c>
      <c r="I40" s="70"/>
    </row>
    <row r="41" spans="1:9">
      <c r="A41" s="54" t="str">
        <f t="shared" si="0"/>
        <v>泰康</v>
      </c>
      <c r="B41" s="65" t="s">
        <v>89</v>
      </c>
      <c r="C41" s="66">
        <f>3586.31</f>
        <v>3586.31</v>
      </c>
      <c r="D41" s="66">
        <v>3168.058295</v>
      </c>
      <c r="E41" s="66">
        <f t="shared" si="1"/>
        <v>6754.368295</v>
      </c>
      <c r="F41" s="63">
        <v>0</v>
      </c>
      <c r="G41" s="62">
        <f t="shared" si="4"/>
        <v>0.6754368295</v>
      </c>
      <c r="H41" s="64">
        <f t="shared" si="2"/>
        <v>0</v>
      </c>
      <c r="I41" s="70"/>
    </row>
    <row r="42" ht="15" spans="1:9">
      <c r="A42" s="57" t="s">
        <v>90</v>
      </c>
      <c r="B42" s="67" t="s">
        <v>91</v>
      </c>
      <c r="C42" s="68">
        <f>2492089.92</f>
        <v>2492089.92</v>
      </c>
      <c r="D42" s="68">
        <v>2476572.193972</v>
      </c>
      <c r="E42" s="68">
        <f t="shared" si="1"/>
        <v>4968662.113972</v>
      </c>
      <c r="F42" s="63">
        <v>1281</v>
      </c>
      <c r="G42" s="62">
        <f t="shared" si="4"/>
        <v>496.8662113972</v>
      </c>
      <c r="H42" s="64">
        <f t="shared" si="2"/>
        <v>2.57815880938613</v>
      </c>
      <c r="I42" s="70"/>
    </row>
  </sheetData>
  <mergeCells count="1">
    <mergeCell ref="B1:C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9"/>
  <sheetViews>
    <sheetView tabSelected="1" workbookViewId="0">
      <pane xSplit="2" ySplit="7" topLeftCell="C20" activePane="bottomRight" state="frozen"/>
      <selection/>
      <selection pane="topRight"/>
      <selection pane="bottomLeft"/>
      <selection pane="bottomRight" activeCell="E42" sqref="E42"/>
    </sheetView>
  </sheetViews>
  <sheetFormatPr defaultColWidth="9" defaultRowHeight="13.5"/>
  <cols>
    <col min="1" max="1" width="6.5" style="28" customWidth="1"/>
    <col min="2" max="2" width="14.025" style="28" customWidth="1"/>
    <col min="3" max="3" width="10.375" style="28" customWidth="1"/>
    <col min="4" max="4" width="10.6916666666667" style="28" customWidth="1"/>
    <col min="5" max="5" width="7.19166666666667" style="28" customWidth="1"/>
    <col min="6" max="6" width="10.6916666666667" style="28" customWidth="1"/>
    <col min="7" max="7" width="7.19166666666667" style="28" customWidth="1"/>
    <col min="8" max="8" width="10.6916666666667" style="28" customWidth="1"/>
    <col min="9" max="9" width="7.19166666666667" style="28" customWidth="1"/>
    <col min="10" max="10" width="10.6916666666667" style="28" customWidth="1"/>
    <col min="11" max="11" width="7.19166666666667" style="28" customWidth="1"/>
    <col min="12" max="12" width="10.6916666666667" style="29" customWidth="1"/>
    <col min="13" max="13" width="7.19166666666667" style="28" customWidth="1"/>
    <col min="14" max="14" width="10.6916666666667" style="29" customWidth="1"/>
    <col min="15" max="15" width="7.19166666666667" style="28" customWidth="1"/>
    <col min="16" max="16" width="10.6916666666667" style="28" customWidth="1"/>
    <col min="17" max="17" width="7.19166666666667" style="28" customWidth="1"/>
    <col min="18" max="18" width="10.6916666666667" style="28" customWidth="1"/>
    <col min="19" max="19" width="7.19166666666667" style="28" customWidth="1"/>
    <col min="20" max="20" width="10.6916666666667" style="29" customWidth="1"/>
    <col min="21" max="21" width="7.19166666666667" style="28" customWidth="1"/>
    <col min="22" max="22" width="10.6916666666667" style="29" customWidth="1"/>
    <col min="23" max="23" width="7.19166666666667" style="28" customWidth="1"/>
    <col min="24" max="24" width="10.6916666666667" style="28" customWidth="1"/>
    <col min="25" max="25" width="7.19166666666667" style="28" customWidth="1"/>
    <col min="26" max="26" width="10.8583333333333" style="28" customWidth="1"/>
    <col min="27" max="27" width="7.19166666666667" style="28" customWidth="1"/>
    <col min="28" max="30" width="8.69166666666667" style="30" customWidth="1"/>
    <col min="31" max="31" width="7.19166666666667" style="28" customWidth="1"/>
    <col min="32" max="32" width="12.925" style="28"/>
    <col min="33" max="16384" width="9" style="28"/>
  </cols>
  <sheetData>
    <row r="1" ht="27" spans="1:31">
      <c r="A1" s="31" t="s">
        <v>92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ht="14.25" spans="1:31">
      <c r="A2" s="32" t="s">
        <v>93</v>
      </c>
      <c r="B2" s="32" t="s">
        <v>94</v>
      </c>
      <c r="C2" s="32" t="s">
        <v>95</v>
      </c>
      <c r="D2" s="33" t="s">
        <v>96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 t="s">
        <v>97</v>
      </c>
      <c r="U2" s="33"/>
      <c r="V2" s="33"/>
      <c r="W2" s="33"/>
      <c r="X2" s="33"/>
      <c r="Y2" s="33"/>
      <c r="Z2" s="33" t="s">
        <v>98</v>
      </c>
      <c r="AA2" s="33"/>
      <c r="AB2" s="48" t="s">
        <v>99</v>
      </c>
      <c r="AC2" s="48"/>
      <c r="AD2" s="48"/>
      <c r="AE2" s="33"/>
    </row>
    <row r="3" ht="14.25" spans="1:31">
      <c r="A3" s="32"/>
      <c r="B3" s="32"/>
      <c r="C3" s="32"/>
      <c r="D3" s="33" t="s">
        <v>100</v>
      </c>
      <c r="E3" s="33"/>
      <c r="F3" s="33"/>
      <c r="G3" s="33"/>
      <c r="H3" s="33"/>
      <c r="I3" s="33"/>
      <c r="J3" s="33"/>
      <c r="K3" s="33"/>
      <c r="L3" s="33" t="s">
        <v>101</v>
      </c>
      <c r="M3" s="33"/>
      <c r="N3" s="33"/>
      <c r="O3" s="33"/>
      <c r="P3" s="33"/>
      <c r="Q3" s="33"/>
      <c r="R3" s="33"/>
      <c r="S3" s="33"/>
      <c r="T3" s="33" t="s">
        <v>102</v>
      </c>
      <c r="U3" s="33"/>
      <c r="V3" s="33"/>
      <c r="W3" s="33"/>
      <c r="X3" s="33" t="s">
        <v>103</v>
      </c>
      <c r="Y3" s="33"/>
      <c r="Z3" s="33" t="s">
        <v>104</v>
      </c>
      <c r="AA3" s="33"/>
      <c r="AB3" s="49" t="s">
        <v>105</v>
      </c>
      <c r="AC3" s="49" t="s">
        <v>106</v>
      </c>
      <c r="AD3" s="49" t="s">
        <v>107</v>
      </c>
      <c r="AE3" s="34" t="s">
        <v>108</v>
      </c>
    </row>
    <row r="4" ht="14.25" spans="1:31">
      <c r="A4" s="32"/>
      <c r="B4" s="32"/>
      <c r="C4" s="32"/>
      <c r="D4" s="33" t="s">
        <v>109</v>
      </c>
      <c r="E4" s="33"/>
      <c r="F4" s="33" t="s">
        <v>110</v>
      </c>
      <c r="G4" s="33"/>
      <c r="H4" s="33" t="s">
        <v>111</v>
      </c>
      <c r="I4" s="33"/>
      <c r="J4" s="33" t="s">
        <v>112</v>
      </c>
      <c r="K4" s="33"/>
      <c r="L4" s="33" t="s">
        <v>109</v>
      </c>
      <c r="M4" s="33"/>
      <c r="N4" s="33" t="s">
        <v>110</v>
      </c>
      <c r="O4" s="33"/>
      <c r="P4" s="33" t="s">
        <v>111</v>
      </c>
      <c r="Q4" s="33"/>
      <c r="R4" s="33" t="s">
        <v>112</v>
      </c>
      <c r="S4" s="33"/>
      <c r="T4" s="33" t="s">
        <v>113</v>
      </c>
      <c r="U4" s="33"/>
      <c r="V4" s="33" t="s">
        <v>114</v>
      </c>
      <c r="W4" s="33"/>
      <c r="X4" s="32" t="s">
        <v>115</v>
      </c>
      <c r="Y4" s="34" t="s">
        <v>116</v>
      </c>
      <c r="Z4" s="32" t="s">
        <v>115</v>
      </c>
      <c r="AA4" s="34" t="s">
        <v>116</v>
      </c>
      <c r="AB4" s="49"/>
      <c r="AC4" s="49"/>
      <c r="AD4" s="49"/>
      <c r="AE4" s="34"/>
    </row>
    <row r="5" ht="14.25" spans="1:31">
      <c r="A5" s="32"/>
      <c r="B5" s="32"/>
      <c r="C5" s="32"/>
      <c r="D5" s="32" t="s">
        <v>115</v>
      </c>
      <c r="E5" s="34" t="s">
        <v>116</v>
      </c>
      <c r="F5" s="32" t="s">
        <v>115</v>
      </c>
      <c r="G5" s="34" t="s">
        <v>116</v>
      </c>
      <c r="H5" s="32" t="s">
        <v>115</v>
      </c>
      <c r="I5" s="34" t="s">
        <v>116</v>
      </c>
      <c r="J5" s="32" t="s">
        <v>115</v>
      </c>
      <c r="K5" s="34" t="s">
        <v>116</v>
      </c>
      <c r="L5" s="32" t="s">
        <v>115</v>
      </c>
      <c r="M5" s="34" t="s">
        <v>116</v>
      </c>
      <c r="N5" s="32" t="s">
        <v>115</v>
      </c>
      <c r="O5" s="34" t="s">
        <v>116</v>
      </c>
      <c r="P5" s="32" t="s">
        <v>115</v>
      </c>
      <c r="Q5" s="34" t="s">
        <v>116</v>
      </c>
      <c r="R5" s="32" t="s">
        <v>115</v>
      </c>
      <c r="S5" s="34" t="s">
        <v>116</v>
      </c>
      <c r="T5" s="32" t="s">
        <v>115</v>
      </c>
      <c r="U5" s="34" t="s">
        <v>116</v>
      </c>
      <c r="V5" s="32" t="s">
        <v>115</v>
      </c>
      <c r="W5" s="34" t="s">
        <v>116</v>
      </c>
      <c r="X5" s="32"/>
      <c r="Y5" s="34"/>
      <c r="Z5" s="32"/>
      <c r="AA5" s="34"/>
      <c r="AB5" s="49"/>
      <c r="AC5" s="49"/>
      <c r="AD5" s="49"/>
      <c r="AE5" s="34"/>
    </row>
    <row r="6" s="28" customFormat="1" ht="14.25" spans="1:31">
      <c r="A6" s="32"/>
      <c r="B6" s="35" t="s">
        <v>117</v>
      </c>
      <c r="C6" s="36">
        <f>E6+G6+I6+K6+Q6+S6+M6+O6+AA6+U6+W6+Y6+AE6</f>
        <v>100</v>
      </c>
      <c r="D6" s="37">
        <v>8.2212234916368</v>
      </c>
      <c r="E6" s="38">
        <v>12</v>
      </c>
      <c r="F6" s="37">
        <v>106.056209053008</v>
      </c>
      <c r="G6" s="38">
        <v>8</v>
      </c>
      <c r="H6" s="37">
        <v>13.6672496570645</v>
      </c>
      <c r="I6" s="38">
        <v>12</v>
      </c>
      <c r="J6" s="37">
        <v>73.5558779282184</v>
      </c>
      <c r="K6" s="38">
        <v>8</v>
      </c>
      <c r="L6" s="44">
        <v>14.3496536205502</v>
      </c>
      <c r="M6" s="38">
        <v>6</v>
      </c>
      <c r="N6" s="44">
        <v>147.471479885057</v>
      </c>
      <c r="O6" s="38">
        <v>4</v>
      </c>
      <c r="P6" s="45">
        <v>29.5784877169259</v>
      </c>
      <c r="Q6" s="38">
        <v>6</v>
      </c>
      <c r="R6" s="45">
        <v>132.130401234568</v>
      </c>
      <c r="S6" s="38">
        <v>4</v>
      </c>
      <c r="T6" s="46">
        <v>0.890955740859525</v>
      </c>
      <c r="U6" s="38">
        <v>10</v>
      </c>
      <c r="V6" s="46">
        <v>0.734724550552055</v>
      </c>
      <c r="W6" s="38">
        <v>10</v>
      </c>
      <c r="X6" s="46">
        <v>0.964734419703943</v>
      </c>
      <c r="Y6" s="38">
        <v>10</v>
      </c>
      <c r="Z6" s="50">
        <v>7.02597775347463</v>
      </c>
      <c r="AA6" s="38">
        <v>10</v>
      </c>
      <c r="AB6" s="51">
        <v>0.00845424004134821</v>
      </c>
      <c r="AC6" s="46">
        <v>0.312126981410572</v>
      </c>
      <c r="AD6" s="46">
        <v>0.0046647592984202</v>
      </c>
      <c r="AE6" s="38"/>
    </row>
    <row r="7" s="28" customFormat="1" ht="15" customHeight="1" spans="1:31">
      <c r="A7" s="39">
        <f>RANK(C7,$C$7:$C$39)</f>
        <v>1</v>
      </c>
      <c r="B7" s="40" t="s">
        <v>118</v>
      </c>
      <c r="C7" s="36">
        <f>E7+G7+I7+K7+Q7+S7+M7+O7+AA7+U7+W7+Y7-AE7</f>
        <v>95.1431145135373</v>
      </c>
      <c r="D7" s="41">
        <f>VLOOKUP(B7,基础数!$1:$1048576,2,FALSE)</f>
        <v>3.71202064896755</v>
      </c>
      <c r="E7" s="38">
        <f>IF(D7="-",9.6,MAX(MIN(IF(D7&gt;'测算稿 '!D$6,('测算稿 '!D$6-D7)*0.6+9.6,('测算稿 '!D$6-D7)*0.6+9.6),12),0))</f>
        <v>12</v>
      </c>
      <c r="F7" s="41">
        <f>VLOOKUP(B7,基础数!$1:$1048576,3,FALSE)</f>
        <v>95.3257575757576</v>
      </c>
      <c r="G7" s="38">
        <f>IF(F7="-",6.4,MAX(MIN(IF(F7&gt;'测算稿 '!F$6,('测算稿 '!F$6-F7)*0.1+6.4,('测算稿 '!F$6-F7)*0.1+6.4),8),0))</f>
        <v>7.47304514772504</v>
      </c>
      <c r="H7" s="41">
        <f>VLOOKUP(B7,基础数!$1:$1048576,4,FALSE)</f>
        <v>7.43611111111111</v>
      </c>
      <c r="I7" s="38">
        <f>IF(H7="-",9.6,MAX(MIN(IF(H7&gt;'测算稿 '!H$6,('测算稿 '!H$6-H7)*0.3+9.6,('测算稿 '!H$6-H7)*0.6+9.6),12),0))</f>
        <v>12</v>
      </c>
      <c r="J7" s="41">
        <f>VLOOKUP(B7,基础数!$1:$1048576,5,FALSE)</f>
        <v>33.4861111111111</v>
      </c>
      <c r="K7" s="38">
        <f>IF(J7="-",6.4,MAX(MIN(IF(J7&gt;'测算稿 '!J$6,('测算稿 '!J$6-J7)*0.1+6.4,('测算稿 '!J$6-J7)*0.2+6.4),8),0))</f>
        <v>8</v>
      </c>
      <c r="L7" s="41">
        <f>VLOOKUP(B7,基础数!$1:$1048576,6,FALSE)</f>
        <v>3.20833333333333</v>
      </c>
      <c r="M7" s="38">
        <f>IF(L7="-",4.8,MAX(MIN(IF(L7&gt;'测算稿 '!L$6,('测算稿 '!L$6-L7)*0.2+4.8,('测算稿 '!L$6-L7)*0.2+4.8),6),0))</f>
        <v>6</v>
      </c>
      <c r="N7" s="41">
        <f>VLOOKUP(B7,基础数!$1:$1048576,7,FALSE)</f>
        <v>131.166666666667</v>
      </c>
      <c r="O7" s="38">
        <f>IF(N7="-",3.2,MAX(MIN(IF(N7&gt;'测算稿 '!N$6,('测算稿 '!N$6-N7)*0.05+3.2,('测算稿 '!N$6-N7)*0.05+3.2),4),0))</f>
        <v>4</v>
      </c>
      <c r="P7" s="41">
        <f>VLOOKUP(B7,基础数!$1:$1048576,8,FALSE)</f>
        <v>12.2208333333333</v>
      </c>
      <c r="Q7" s="38">
        <f>IF(P7="-",4.8,MAX(MIN(IF(P7&gt;'测算稿 '!P$6,('测算稿 '!P$6-P7)*0.2+4.8,('测算稿 '!P$6-P7)*0.2+4.8),6),0))</f>
        <v>6</v>
      </c>
      <c r="R7" s="41">
        <f>VLOOKUP(B7,基础数!$1:$1048576,9,FALSE)</f>
        <v>100.805555555556</v>
      </c>
      <c r="S7" s="38">
        <f>IF(R7="-",3.2,MAX(MIN(IF(R7&gt;'测算稿 '!R$6,('测算稿 '!R$6-R7)*0.05+3.2,('测算稿 '!R$6-R7)*0.05+3.2),4),0))</f>
        <v>4</v>
      </c>
      <c r="T7" s="47">
        <f>VLOOKUP(B7,基础数!$1:$1048576,10,FALSE)</f>
        <v>0.89247311827957</v>
      </c>
      <c r="U7" s="38">
        <f>IF(T7="-",8,IF(T7&lt;1,MAX(MIN(IF(T7&gt;'测算稿 '!T$6,(T7-'测算稿 '!T$6)*100*0.5+8,(T7-'测算稿 '!T$6)*100*0.2+8),10),0),10))</f>
        <v>8.07586887100225</v>
      </c>
      <c r="V7" s="47">
        <f>VLOOKUP(B7,基础数!$1:$1048576,11,FALSE)</f>
        <v>0.839506172839506</v>
      </c>
      <c r="W7" s="38">
        <f>IF(V7="-",8,IF(V7&lt;1,MAX(MIN(IF(V7&gt;'测算稿 '!V$6,(V7-'测算稿 '!V$6)*100*0.5+8,(V7-'测算稿 '!V$6)*100*0.2+8),10),0),10))</f>
        <v>10</v>
      </c>
      <c r="X7" s="47">
        <f>VLOOKUP(B7,基础数!$1:$1048576,12,FALSE)</f>
        <v>0.944444444444444</v>
      </c>
      <c r="Y7" s="38">
        <f>IF(X7='测算稿 '!X$6,8,IF(X7&lt;1,MAX(MIN(IF(X7&gt;'测算稿 '!X$6,(X7-'测算稿 '!X$6)*100*0.4+8,(X7-'测算稿 '!X$6)*100*0.2+8),10),0),10))</f>
        <v>7.59420049481002</v>
      </c>
      <c r="Z7" s="52">
        <v>0</v>
      </c>
      <c r="AA7" s="38">
        <f>MIN(MAX(IF(Z7=0,10,IF(Z7&lt;'[1]测算稿 '!Z$6,8+('[1]测算稿 '!Z$6-Z7)*2,8+('[1]测算稿 '!Z$6-Z7)*0.4)),0),10)</f>
        <v>10</v>
      </c>
      <c r="AB7" s="47">
        <f>VLOOKUP(B7,基础数!$1:$1048576,13,FALSE)</f>
        <v>0</v>
      </c>
      <c r="AC7" s="47">
        <f>VLOOKUP(B7,基础数!$1:$1048576,14,FALSE)</f>
        <v>0.133333333333333</v>
      </c>
      <c r="AD7" s="47">
        <f>VLOOKUP(B7,基础数!$1:$1048576,15,FALSE)</f>
        <v>0</v>
      </c>
      <c r="AE7" s="38">
        <f>MIN(2,IF(AB7&lt;'测算稿 '!AB$6*1.1,0,(AB7/'测算稿 '!AB$6-1.1)*10*0.4))+MIN(2,IF(AC7&lt;'测算稿 '!AC$6*1.1,0,(AC7/'测算稿 '!AC$6-1.1)*10*0.4))+MIN(2,IF(AD7&lt;'测算稿 '!AD$6*1.1,0,(AD7/'测算稿 '!AD$6-1.1)*10*0.4))</f>
        <v>0</v>
      </c>
    </row>
    <row r="8" s="28" customFormat="1" ht="15" customHeight="1" spans="1:31">
      <c r="A8" s="39">
        <f t="shared" ref="A8:A40" si="0">RANK(C8,$C$7:$C$39)</f>
        <v>11</v>
      </c>
      <c r="B8" s="42" t="s">
        <v>119</v>
      </c>
      <c r="C8" s="36">
        <f t="shared" ref="C8:C40" si="1">E8+G8+I8+K8+Q8+S8+M8+O8+AA8+U8+W8+Y8-AE8</f>
        <v>78.1114371469874</v>
      </c>
      <c r="D8" s="41">
        <f>VLOOKUP(B8,基础数!$1:$1048576,2,FALSE)</f>
        <v>5.86477987421384</v>
      </c>
      <c r="E8" s="38">
        <f>IF(D8="-",9.6,MAX(MIN(IF(D8&gt;'测算稿 '!D$6,('测算稿 '!D$6-D8)*0.6+9.6,('测算稿 '!D$6-D8)*0.6+9.6),12),0))</f>
        <v>11.0138661704538</v>
      </c>
      <c r="F8" s="41">
        <f>VLOOKUP(B8,基础数!$1:$1048576,3,FALSE)</f>
        <v>165.065586419753</v>
      </c>
      <c r="G8" s="38">
        <f>IF(F8="-",6.4,MAX(MIN(IF(F8&gt;'测算稿 '!F$6,('测算稿 '!F$6-F8)*0.1+6.4,('测算稿 '!F$6-F8)*0.1+6.4),8),0))</f>
        <v>0.4990622633255</v>
      </c>
      <c r="H8" s="41">
        <f>VLOOKUP(B8,基础数!$1:$1048576,4,FALSE)</f>
        <v>14.0094551282051</v>
      </c>
      <c r="I8" s="38">
        <f>IF(H8="-",9.6,MAX(MIN(IF(H8&gt;'测算稿 '!H$6,('测算稿 '!H$6-H8)*0.3+9.6,('测算稿 '!H$6-H8)*0.6+9.6),12),0))</f>
        <v>9.49733835865782</v>
      </c>
      <c r="J8" s="41">
        <f>VLOOKUP(B8,基础数!$1:$1048576,5,FALSE)</f>
        <v>132.364583333333</v>
      </c>
      <c r="K8" s="38">
        <f>IF(J8="-",6.4,MAX(MIN(IF(J8&gt;'测算稿 '!J$6,('测算稿 '!J$6-J8)*0.1+6.4,('测算稿 '!J$6-J8)*0.2+6.4),8),0))</f>
        <v>0.519129459488539</v>
      </c>
      <c r="L8" s="41">
        <f>VLOOKUP(B8,基础数!$1:$1048576,6,FALSE)</f>
        <v>6.66522988505747</v>
      </c>
      <c r="M8" s="38">
        <f>IF(L8="-",4.8,MAX(MIN(IF(L8&gt;'测算稿 '!L$6,('测算稿 '!L$6-L8)*0.2+4.8,('测算稿 '!L$6-L8)*0.2+4.8),6),0))</f>
        <v>6</v>
      </c>
      <c r="N8" s="41">
        <f>VLOOKUP(B8,基础数!$1:$1048576,7,FALSE)</f>
        <v>108.85119047619</v>
      </c>
      <c r="O8" s="38">
        <f>IF(N8="-",3.2,MAX(MIN(IF(N8&gt;'测算稿 '!N$6,('测算稿 '!N$6-N8)*0.05+3.2,('测算稿 '!N$6-N8)*0.05+3.2),4),0))</f>
        <v>4</v>
      </c>
      <c r="P8" s="41">
        <f>VLOOKUP(B8,基础数!$1:$1048576,8,FALSE)</f>
        <v>10.9583333333333</v>
      </c>
      <c r="Q8" s="38">
        <f>IF(P8="-",4.8,MAX(MIN(IF(P8&gt;'测算稿 '!P$6,('测算稿 '!P$6-P8)*0.2+4.8,('测算稿 '!P$6-P8)*0.2+4.8),6),0))</f>
        <v>6</v>
      </c>
      <c r="R8" s="41">
        <f>VLOOKUP(B8,基础数!$1:$1048576,9,FALSE)</f>
        <v>136.489583333333</v>
      </c>
      <c r="S8" s="38">
        <f>IF(R8="-",3.2,MAX(MIN(IF(R8&gt;'测算稿 '!R$6,('测算稿 '!R$6-R8)*0.05+3.2,('测算稿 '!R$6-R8)*0.05+3.2),4),0))</f>
        <v>2.98204089506175</v>
      </c>
      <c r="T8" s="47">
        <f>VLOOKUP(B8,基础数!$1:$1048576,10,FALSE)</f>
        <v>0.979130434782609</v>
      </c>
      <c r="U8" s="38">
        <f>IF(T8="-",8,IF(T8&lt;1,MAX(MIN(IF(T8&gt;'测算稿 '!T$6,(T8-'测算稿 '!T$6)*100*0.5+8,(T8-'测算稿 '!T$6)*100*0.2+8),10),0),10))</f>
        <v>10</v>
      </c>
      <c r="V8" s="47">
        <f>VLOOKUP(B8,基础数!$1:$1048576,11,FALSE)</f>
        <v>1.00641025641026</v>
      </c>
      <c r="W8" s="38">
        <f>IF(V8="-",8,IF(V8&lt;1,MAX(MIN(IF(V8&gt;'测算稿 '!V$6,(V8-'测算稿 '!V$6)*100*0.5+8,(V8-'测算稿 '!V$6)*100*0.2+8),10),0),10))</f>
        <v>10</v>
      </c>
      <c r="X8" s="47">
        <f>VLOOKUP(B8,基础数!$1:$1048576,12,FALSE)</f>
        <v>1.00456100342075</v>
      </c>
      <c r="Y8" s="38">
        <f>IF(X8='测算稿 '!X$6,8,IF(X8&lt;1,MAX(MIN(IF(X8&gt;'测算稿 '!X$6,(X8-'测算稿 '!X$6)*100*0.4+8,(X8-'测算稿 '!X$6)*100*0.2+8),10),0),10))</f>
        <v>10</v>
      </c>
      <c r="Z8" s="52">
        <v>1</v>
      </c>
      <c r="AA8" s="38">
        <f>MIN(MAX(IF(Z8=0,10,IF(Z8&lt;'[1]测算稿 '!Z$6,8+('[1]测算稿 '!Z$6-Z8)*2,8+('[1]测算稿 '!Z$6-Z8)*0.4)),0),10)</f>
        <v>7.6</v>
      </c>
      <c r="AB8" s="47">
        <f>VLOOKUP(B8,基础数!$1:$1048576,13,FALSE)</f>
        <v>0</v>
      </c>
      <c r="AC8" s="47">
        <f>VLOOKUP(B8,基础数!$1:$1048576,14,FALSE)</f>
        <v>0.106014271151886</v>
      </c>
      <c r="AD8" s="47">
        <f>VLOOKUP(B8,基础数!$1:$1048576,15,FALSE)</f>
        <v>0.00228050171037628</v>
      </c>
      <c r="AE8" s="38">
        <f>MIN(2,IF(AB8&lt;'测算稿 '!AB$6*1.1,0,(AB8/'测算稿 '!AB$6-1.1)*10*0.4))+MIN(2,IF(AC8&lt;'测算稿 '!AC$6*1.1,0,(AC8/'测算稿 '!AC$6-1.1)*10*0.4))+MIN(2,IF(AD8&lt;'测算稿 '!AD$6*1.1,0,(AD8/'测算稿 '!AD$6-1.1)*10*0.4))</f>
        <v>0</v>
      </c>
    </row>
    <row r="9" s="28" customFormat="1" ht="15" customHeight="1" spans="1:31">
      <c r="A9" s="39">
        <f t="shared" si="0"/>
        <v>3</v>
      </c>
      <c r="B9" s="42" t="s">
        <v>48</v>
      </c>
      <c r="C9" s="36">
        <f t="shared" si="1"/>
        <v>87.632323174112</v>
      </c>
      <c r="D9" s="41">
        <f>VLOOKUP(B9,基础数!$1:$1048576,2,FALSE)</f>
        <v>8.67688034188034</v>
      </c>
      <c r="E9" s="38">
        <f>IF(D9="-",9.6,MAX(MIN(IF(D9&gt;'测算稿 '!D$6,('测算稿 '!D$6-D9)*0.6+9.6,('测算稿 '!D$6-D9)*0.6+9.6),12),0))</f>
        <v>9.32660588985388</v>
      </c>
      <c r="F9" s="41">
        <f>VLOOKUP(B9,基础数!$1:$1048576,3,FALSE)</f>
        <v>69.2227297895903</v>
      </c>
      <c r="G9" s="38">
        <f>IF(F9="-",6.4,MAX(MIN(IF(F9&gt;'测算稿 '!F$6,('测算稿 '!F$6-F9)*0.1+6.4,('测算稿 '!F$6-F9)*0.1+6.4),8),0))</f>
        <v>8</v>
      </c>
      <c r="H9" s="41">
        <f>VLOOKUP(B9,基础数!$1:$1048576,4,FALSE)</f>
        <v>11.4946817214858</v>
      </c>
      <c r="I9" s="38">
        <f>IF(H9="-",9.6,MAX(MIN(IF(H9&gt;'测算稿 '!H$6,('测算稿 '!H$6-H9)*0.3+9.6,('测算稿 '!H$6-H9)*0.6+9.6),12),0))</f>
        <v>10.9035407613472</v>
      </c>
      <c r="J9" s="41">
        <f>VLOOKUP(B9,基础数!$1:$1048576,5,FALSE)</f>
        <v>47.8575935596171</v>
      </c>
      <c r="K9" s="38">
        <f>IF(J9="-",6.4,MAX(MIN(IF(J9&gt;'测算稿 '!J$6,('测算稿 '!J$6-J9)*0.1+6.4,('测算稿 '!J$6-J9)*0.2+6.4),8),0))</f>
        <v>8</v>
      </c>
      <c r="L9" s="41">
        <f>VLOOKUP(B9,基础数!$1:$1048576,6,FALSE)</f>
        <v>12.3023143259416</v>
      </c>
      <c r="M9" s="38">
        <f>IF(L9="-",4.8,MAX(MIN(IF(L9&gt;'测算稿 '!L$6,('测算稿 '!L$6-L9)*0.2+4.8,('测算稿 '!L$6-L9)*0.2+4.8),6),0))</f>
        <v>5.20946785892172</v>
      </c>
      <c r="N9" s="41">
        <f>VLOOKUP(B9,基础数!$1:$1048576,7,FALSE)</f>
        <v>117.248647186147</v>
      </c>
      <c r="O9" s="38">
        <f>IF(N9="-",3.2,MAX(MIN(IF(N9&gt;'测算稿 '!N$6,('测算稿 '!N$6-N9)*0.05+3.2,('测算稿 '!N$6-N9)*0.05+3.2),4),0))</f>
        <v>4</v>
      </c>
      <c r="P9" s="41">
        <f>VLOOKUP(B9,基础数!$1:$1048576,8,FALSE)</f>
        <v>22.0616319444444</v>
      </c>
      <c r="Q9" s="38">
        <f>IF(P9="-",4.8,MAX(MIN(IF(P9&gt;'测算稿 '!P$6,('测算稿 '!P$6-P9)*0.2+4.8,('测算稿 '!P$6-P9)*0.2+4.8),6),0))</f>
        <v>6</v>
      </c>
      <c r="R9" s="41">
        <f>VLOOKUP(B9,基础数!$1:$1048576,9,FALSE)</f>
        <v>99.8004557291667</v>
      </c>
      <c r="S9" s="38">
        <f>IF(R9="-",3.2,MAX(MIN(IF(R9&gt;'测算稿 '!R$6,('测算稿 '!R$6-R9)*0.05+3.2,('测算稿 '!R$6-R9)*0.05+3.2),4),0))</f>
        <v>4</v>
      </c>
      <c r="T9" s="47">
        <f>VLOOKUP(B9,基础数!$1:$1048576,10,FALSE)</f>
        <v>0.935128518971848</v>
      </c>
      <c r="U9" s="38">
        <f>IF(T9="-",8,IF(T9&lt;1,MAX(MIN(IF(T9&gt;'测算稿 '!T$6,(T9-'测算稿 '!T$6)*100*0.5+8,(T9-'测算稿 '!T$6)*100*0.2+8),10),0),10))</f>
        <v>10</v>
      </c>
      <c r="V9" s="47">
        <f>VLOOKUP(B9,基础数!$1:$1048576,11,FALSE)</f>
        <v>0.726143790849673</v>
      </c>
      <c r="W9" s="38">
        <f>IF(V9="-",8,IF(V9&lt;1,MAX(MIN(IF(V9&gt;'测算稿 '!V$6,(V9-'测算稿 '!V$6)*100*0.5+8,(V9-'测算稿 '!V$6)*100*0.2+8),10),0),10))</f>
        <v>7.82838480595236</v>
      </c>
      <c r="X9" s="47">
        <f>VLOOKUP(B9,基础数!$1:$1048576,12,FALSE)</f>
        <v>0.922950612605785</v>
      </c>
      <c r="Y9" s="38">
        <f>IF(X9='测算稿 '!X$6,8,IF(X9&lt;1,MAX(MIN(IF(X9&gt;'测算稿 '!X$6,(X9-'测算稿 '!X$6)*100*0.4+8,(X9-'测算稿 '!X$6)*100*0.2+8),10),0),10))</f>
        <v>7.16432385803684</v>
      </c>
      <c r="Z9" s="52">
        <v>2</v>
      </c>
      <c r="AA9" s="38">
        <f>MIN(MAX(IF(Z9=0,10,IF(Z9&lt;'[1]测算稿 '!Z$6,8+('[1]测算稿 '!Z$6-Z9)*2,8+('[1]测算稿 '!Z$6-Z9)*0.4)),0),10)</f>
        <v>7.2</v>
      </c>
      <c r="AB9" s="47">
        <f>VLOOKUP(B9,基础数!$1:$1048576,13,FALSE)</f>
        <v>7.5717422578947e-5</v>
      </c>
      <c r="AC9" s="47">
        <f>VLOOKUP(B9,基础数!$1:$1048576,14,FALSE)</f>
        <v>0.31931906112974</v>
      </c>
      <c r="AD9" s="47">
        <f>VLOOKUP(B9,基础数!$1:$1048576,15,FALSE)</f>
        <v>0.00252620942276115</v>
      </c>
      <c r="AE9" s="38">
        <f>MIN(2,IF(AB9&lt;'测算稿 '!AB$6*1.1,0,(AB9/'测算稿 '!AB$6-1.1)*10*0.4))+MIN(2,IF(AC9&lt;'测算稿 '!AC$6*1.1,0,(AC9/'测算稿 '!AC$6-1.1)*10*0.4))+MIN(2,IF(AD9&lt;'测算稿 '!AD$6*1.1,0,(AD9/'测算稿 '!AD$6-1.1)*10*0.4))</f>
        <v>0</v>
      </c>
    </row>
    <row r="10" s="28" customFormat="1" ht="15" customHeight="1" spans="1:31">
      <c r="A10" s="39">
        <f t="shared" si="0"/>
        <v>4</v>
      </c>
      <c r="B10" s="40" t="s">
        <v>120</v>
      </c>
      <c r="C10" s="36">
        <f t="shared" si="1"/>
        <v>85.1584290153505</v>
      </c>
      <c r="D10" s="41">
        <f>VLOOKUP(B10,基础数!$1:$1048576,2,FALSE)</f>
        <v>6.77894736842105</v>
      </c>
      <c r="E10" s="38">
        <f>IF(D10="-",9.6,MAX(MIN(IF(D10&gt;'测算稿 '!D$6,('测算稿 '!D$6-D10)*0.6+9.6,('测算稿 '!D$6-D10)*0.6+9.6),12),0))</f>
        <v>10.4653656739295</v>
      </c>
      <c r="F10" s="41">
        <f>VLOOKUP(B10,基础数!$1:$1048576,3,FALSE)</f>
        <v>131.708333333333</v>
      </c>
      <c r="G10" s="38">
        <f>IF(F10="-",6.4,MAX(MIN(IF(F10&gt;'测算稿 '!F$6,('测算稿 '!F$6-F10)*0.1+6.4,('测算稿 '!F$6-F10)*0.1+6.4),8),0))</f>
        <v>3.8347875719675</v>
      </c>
      <c r="H10" s="41">
        <f>VLOOKUP(B10,基础数!$1:$1048576,4,FALSE)</f>
        <v>13.3584401709402</v>
      </c>
      <c r="I10" s="38">
        <f>IF(H10="-",9.6,MAX(MIN(IF(H10&gt;'测算稿 '!H$6,('测算稿 '!H$6-H10)*0.3+9.6,('测算稿 '!H$6-H10)*0.6+9.6),12),0))</f>
        <v>9.78528569167458</v>
      </c>
      <c r="J10" s="41">
        <f>VLOOKUP(B10,基础数!$1:$1048576,5,FALSE)</f>
        <v>31.5490196078431</v>
      </c>
      <c r="K10" s="38">
        <f>IF(J10="-",6.4,MAX(MIN(IF(J10&gt;'测算稿 '!J$6,('测算稿 '!J$6-J10)*0.1+6.4,('测算稿 '!J$6-J10)*0.2+6.4),8),0))</f>
        <v>8</v>
      </c>
      <c r="L10" s="41">
        <f>VLOOKUP(B10,基础数!$1:$1048576,6,FALSE)</f>
        <v>16.3445945945946</v>
      </c>
      <c r="M10" s="38">
        <f>IF(L10="-",4.8,MAX(MIN(IF(L10&gt;'测算稿 '!L$6,('测算稿 '!L$6-L10)*0.2+4.8,('测算稿 '!L$6-L10)*0.2+4.8),6),0))</f>
        <v>4.40101180519112</v>
      </c>
      <c r="N10" s="41">
        <f>VLOOKUP(B10,基础数!$1:$1048576,7,FALSE)</f>
        <v>83.4041666666667</v>
      </c>
      <c r="O10" s="38">
        <f>IF(N10="-",3.2,MAX(MIN(IF(N10&gt;'测算稿 '!N$6,('测算稿 '!N$6-N10)*0.05+3.2,('测算稿 '!N$6-N10)*0.05+3.2),4),0))</f>
        <v>4</v>
      </c>
      <c r="P10" s="41">
        <f>VLOOKUP(B10,基础数!$1:$1048576,8,FALSE)</f>
        <v>12.4410714285714</v>
      </c>
      <c r="Q10" s="38">
        <f>IF(P10="-",4.8,MAX(MIN(IF(P10&gt;'测算稿 '!P$6,('测算稿 '!P$6-P10)*0.2+4.8,('测算稿 '!P$6-P10)*0.2+4.8),6),0))</f>
        <v>6</v>
      </c>
      <c r="R10" s="41">
        <f>VLOOKUP(B10,基础数!$1:$1048576,9,FALSE)</f>
        <v>106.347826086957</v>
      </c>
      <c r="S10" s="38">
        <f>IF(R10="-",3.2,MAX(MIN(IF(R10&gt;'测算稿 '!R$6,('测算稿 '!R$6-R10)*0.05+3.2,('测算稿 '!R$6-R10)*0.05+3.2),4),0))</f>
        <v>4</v>
      </c>
      <c r="T10" s="47">
        <f>VLOOKUP(B10,基础数!$1:$1048576,10,FALSE)</f>
        <v>0.972602739726027</v>
      </c>
      <c r="U10" s="38">
        <f>IF(T10="-",8,IF(T10&lt;1,MAX(MIN(IF(T10&gt;'测算稿 '!T$6,(T10-'测算稿 '!T$6)*100*0.5+8,(T10-'测算稿 '!T$6)*100*0.2+8),10),0),10))</f>
        <v>10</v>
      </c>
      <c r="V10" s="47">
        <f>VLOOKUP(B10,基础数!$1:$1048576,11,FALSE)</f>
        <v>0.841880341880342</v>
      </c>
      <c r="W10" s="38">
        <f>IF(V10="-",8,IF(V10&lt;1,MAX(MIN(IF(V10&gt;'测算稿 '!V$6,(V10-'测算稿 '!V$6)*100*0.5+8,(V10-'测算稿 '!V$6)*100*0.2+8),10),0),10))</f>
        <v>10</v>
      </c>
      <c r="X10" s="47">
        <f>VLOOKUP(B10,基础数!$1:$1048576,12,FALSE)</f>
        <v>0.958333333333333</v>
      </c>
      <c r="Y10" s="38">
        <f>IF(X10='测算稿 '!X$6,8,IF(X10&lt;1,MAX(MIN(IF(X10&gt;'测算稿 '!X$6,(X10-'测算稿 '!X$6)*100*0.4+8,(X10-'测算稿 '!X$6)*100*0.2+8),10),0),10))</f>
        <v>7.8719782725878</v>
      </c>
      <c r="Z10" s="52">
        <v>3</v>
      </c>
      <c r="AA10" s="38">
        <f>MIN(MAX(IF(Z10=0,10,IF(Z10&lt;'[1]测算稿 '!Z$6,8+('[1]测算稿 '!Z$6-Z10)*2,8+('[1]测算稿 '!Z$6-Z10)*0.4)),0),10)</f>
        <v>6.8</v>
      </c>
      <c r="AB10" s="47">
        <f>VLOOKUP(B10,基础数!$1:$1048576,13,FALSE)</f>
        <v>0.00601684717208184</v>
      </c>
      <c r="AC10" s="47">
        <f>VLOOKUP(B10,基础数!$1:$1048576,14,FALSE)</f>
        <v>0.291399229781772</v>
      </c>
      <c r="AD10" s="47">
        <f>VLOOKUP(B10,基础数!$1:$1048576,15,FALSE)</f>
        <v>0</v>
      </c>
      <c r="AE10" s="38">
        <f>MIN(2,IF(AB10&lt;'测算稿 '!AB$6*1.1,0,(AB10/'测算稿 '!AB$6-1.1)*10*0.4))+MIN(2,IF(AC10&lt;'测算稿 '!AC$6*1.1,0,(AC10/'测算稿 '!AC$6-1.1)*10*0.4))+MIN(2,IF(AD10&lt;'测算稿 '!AD$6*1.1,0,(AD10/'测算稿 '!AD$6-1.1)*10*0.4))</f>
        <v>0</v>
      </c>
    </row>
    <row r="11" s="28" customFormat="1" ht="15" customHeight="1" spans="1:31">
      <c r="A11" s="39">
        <f t="shared" si="0"/>
        <v>2</v>
      </c>
      <c r="B11" s="40" t="s">
        <v>121</v>
      </c>
      <c r="C11" s="36">
        <f t="shared" si="1"/>
        <v>90.9122329860425</v>
      </c>
      <c r="D11" s="41">
        <f>VLOOKUP(B11,基础数!$1:$1048576,2,FALSE)</f>
        <v>3.8774077046549</v>
      </c>
      <c r="E11" s="38">
        <f>IF(D11="-",9.6,MAX(MIN(IF(D11&gt;'测算稿 '!D$6,('测算稿 '!D$6-D11)*0.6+9.6,('测算稿 '!D$6-D11)*0.6+9.6),12),0))</f>
        <v>12</v>
      </c>
      <c r="F11" s="41">
        <f>VLOOKUP(B11,基础数!$1:$1048576,3,FALSE)</f>
        <v>78.310861423221</v>
      </c>
      <c r="G11" s="38">
        <f>IF(F11="-",6.4,MAX(MIN(IF(F11&gt;'测算稿 '!F$6,('测算稿 '!F$6-F11)*0.1+6.4,('测算稿 '!F$6-F11)*0.1+6.4),8),0))</f>
        <v>8</v>
      </c>
      <c r="H11" s="41">
        <f>VLOOKUP(B11,基础数!$1:$1048576,4,FALSE)</f>
        <v>11.6374601275917</v>
      </c>
      <c r="I11" s="38">
        <f>IF(H11="-",9.6,MAX(MIN(IF(H11&gt;'测算稿 '!H$6,('测算稿 '!H$6-H11)*0.3+9.6,('测算稿 '!H$6-H11)*0.6+9.6),12),0))</f>
        <v>10.8178737176837</v>
      </c>
      <c r="J11" s="41">
        <f>VLOOKUP(B11,基础数!$1:$1048576,5,FALSE)</f>
        <v>73.6495098039216</v>
      </c>
      <c r="K11" s="38">
        <f>IF(J11="-",6.4,MAX(MIN(IF(J11&gt;'测算稿 '!J$6,('测算稿 '!J$6-J11)*0.1+6.4,('测算稿 '!J$6-J11)*0.2+6.4),8),0))</f>
        <v>6.39063681242968</v>
      </c>
      <c r="L11" s="41">
        <f>VLOOKUP(B11,基础数!$1:$1048576,6,FALSE)</f>
        <v>3.15162037037037</v>
      </c>
      <c r="M11" s="38">
        <f>IF(L11="-",4.8,MAX(MIN(IF(L11&gt;'测算稿 '!L$6,('测算稿 '!L$6-L11)*0.2+4.8,('测算稿 '!L$6-L11)*0.2+4.8),6),0))</f>
        <v>6</v>
      </c>
      <c r="N11" s="41">
        <f>VLOOKUP(B11,基础数!$1:$1048576,7,FALSE)</f>
        <v>115.854166666667</v>
      </c>
      <c r="O11" s="38">
        <f>IF(N11="-",3.2,MAX(MIN(IF(N11&gt;'测算稿 '!N$6,('测算稿 '!N$6-N11)*0.05+3.2,('测算稿 '!N$6-N11)*0.05+3.2),4),0))</f>
        <v>4</v>
      </c>
      <c r="P11" s="41">
        <f>VLOOKUP(B11,基础数!$1:$1048576,8,FALSE)</f>
        <v>7.06380208333333</v>
      </c>
      <c r="Q11" s="38">
        <f>IF(P11="-",4.8,MAX(MIN(IF(P11&gt;'测算稿 '!P$6,('测算稿 '!P$6-P11)*0.2+4.8,('测算稿 '!P$6-P11)*0.2+4.8),6),0))</f>
        <v>6</v>
      </c>
      <c r="R11" s="41">
        <f>VLOOKUP(B11,基础数!$1:$1048576,9,FALSE)</f>
        <v>34.4333333333333</v>
      </c>
      <c r="S11" s="38">
        <f>IF(R11="-",3.2,MAX(MIN(IF(R11&gt;'测算稿 '!R$6,('测算稿 '!R$6-R11)*0.05+3.2,('测算稿 '!R$6-R11)*0.05+3.2),4),0))</f>
        <v>4</v>
      </c>
      <c r="T11" s="47">
        <f>VLOOKUP(B11,基础数!$1:$1048576,10,FALSE)</f>
        <v>1.00600961538462</v>
      </c>
      <c r="U11" s="38">
        <f>IF(T11="-",8,IF(T11&lt;1,MAX(MIN(IF(T11&gt;'测算稿 '!T$6,(T11-'测算稿 '!T$6)*100*0.5+8,(T11-'测算稿 '!T$6)*100*0.2+8),10),0),10))</f>
        <v>10</v>
      </c>
      <c r="V11" s="47">
        <f>VLOOKUP(B11,基础数!$1:$1048576,11,FALSE)</f>
        <v>0.811638591117917</v>
      </c>
      <c r="W11" s="38">
        <f>IF(V11="-",8,IF(V11&lt;1,MAX(MIN(IF(V11&gt;'测算稿 '!V$6,(V11-'测算稿 '!V$6)*100*0.5+8,(V11-'测算稿 '!V$6)*100*0.2+8),10),0),10))</f>
        <v>10</v>
      </c>
      <c r="X11" s="47">
        <f>VLOOKUP(B11,基础数!$1:$1048576,12,FALSE)</f>
        <v>0.994147768836869</v>
      </c>
      <c r="Y11" s="38">
        <f>IF(X11='测算稿 '!X$6,8,IF(X11&lt;1,MAX(MIN(IF(X11&gt;'测算稿 '!X$6,(X11-'测算稿 '!X$6)*100*0.4+8,(X11-'测算稿 '!X$6)*100*0.2+8),10),0),10))</f>
        <v>9.17653396531704</v>
      </c>
      <c r="Z11" s="52">
        <v>4</v>
      </c>
      <c r="AA11" s="38">
        <f>MIN(MAX(IF(Z11=0,10,IF(Z11&lt;'[1]测算稿 '!Z$6,8+('[1]测算稿 '!Z$6-Z11)*2,8+('[1]测算稿 '!Z$6-Z11)*0.4)),0),10)</f>
        <v>6.4</v>
      </c>
      <c r="AB11" s="47">
        <f>VLOOKUP(B11,基础数!$1:$1048576,13,FALSE)</f>
        <v>0</v>
      </c>
      <c r="AC11" s="47">
        <f>VLOOKUP(B11,基础数!$1:$1048576,14,FALSE)</f>
        <v>0.306443429731101</v>
      </c>
      <c r="AD11" s="47">
        <f>VLOOKUP(B11,基础数!$1:$1048576,15,FALSE)</f>
        <v>0.00731528895391368</v>
      </c>
      <c r="AE11" s="38">
        <f>MIN(2,IF(AB11&lt;'测算稿 '!AB$6*1.1,0,(AB11/'测算稿 '!AB$6-1.1)*10*0.4))+MIN(2,IF(AC11&lt;'测算稿 '!AC$6*1.1,0,(AC11/'测算稿 '!AC$6-1.1)*10*0.4))+MIN(2,IF(AD11&lt;'测算稿 '!AD$6*1.1,0,(AD11/'测算稿 '!AD$6-1.1)*10*0.4))</f>
        <v>1.87281150938796</v>
      </c>
    </row>
    <row r="12" s="28" customFormat="1" ht="15" customHeight="1" spans="1:31">
      <c r="A12" s="39">
        <f t="shared" si="0"/>
        <v>10</v>
      </c>
      <c r="B12" s="40" t="s">
        <v>122</v>
      </c>
      <c r="C12" s="36">
        <f t="shared" si="1"/>
        <v>78.1917351170053</v>
      </c>
      <c r="D12" s="41">
        <f>VLOOKUP(B12,基础数!$1:$1048576,2,FALSE)</f>
        <v>7.12402818270165</v>
      </c>
      <c r="E12" s="38">
        <f>IF(D12="-",9.6,MAX(MIN(IF(D12&gt;'测算稿 '!D$6,('测算稿 '!D$6-D12)*0.6+9.6,('测算稿 '!D$6-D12)*0.6+9.6),12),0))</f>
        <v>10.2583171853611</v>
      </c>
      <c r="F12" s="41">
        <f>VLOOKUP(B12,基础数!$1:$1048576,3,FALSE)</f>
        <v>115.510416666667</v>
      </c>
      <c r="G12" s="38">
        <f>IF(F12="-",6.4,MAX(MIN(IF(F12&gt;'测算稿 '!F$6,('测算稿 '!F$6-F12)*0.1+6.4,('测算稿 '!F$6-F12)*0.1+6.4),8),0))</f>
        <v>5.4545792386341</v>
      </c>
      <c r="H12" s="41">
        <f>VLOOKUP(B12,基础数!$1:$1048576,4,FALSE)</f>
        <v>10.1648035230352</v>
      </c>
      <c r="I12" s="38">
        <f>IF(H12="-",9.6,MAX(MIN(IF(H12&gt;'测算稿 '!H$6,('测算稿 '!H$6-H12)*0.3+9.6,('测算稿 '!H$6-H12)*0.6+9.6),12),0))</f>
        <v>11.7014676804176</v>
      </c>
      <c r="J12" s="41">
        <f>VLOOKUP(B12,基础数!$1:$1048576,5,FALSE)</f>
        <v>71.5708333333333</v>
      </c>
      <c r="K12" s="38">
        <f>IF(J12="-",6.4,MAX(MIN(IF(J12&gt;'测算稿 '!J$6,('测算稿 '!J$6-J12)*0.1+6.4,('测算稿 '!J$6-J12)*0.2+6.4),8),0))</f>
        <v>6.79700891897702</v>
      </c>
      <c r="L12" s="41">
        <f>VLOOKUP(B12,基础数!$1:$1048576,6,FALSE)</f>
        <v>17.5741341991342</v>
      </c>
      <c r="M12" s="38">
        <f>IF(L12="-",4.8,MAX(MIN(IF(L12&gt;'测算稿 '!L$6,('测算稿 '!L$6-L12)*0.2+4.8,('测算稿 '!L$6-L12)*0.2+4.8),6),0))</f>
        <v>4.1551038842832</v>
      </c>
      <c r="N12" s="41">
        <f>VLOOKUP(B12,基础数!$1:$1048576,7,FALSE)</f>
        <v>196.699404761905</v>
      </c>
      <c r="O12" s="38">
        <f>IF(N12="-",3.2,MAX(MIN(IF(N12&gt;'测算稿 '!N$6,('测算稿 '!N$6-N12)*0.05+3.2,('测算稿 '!N$6-N12)*0.05+3.2),4),0))</f>
        <v>0.7386037561576</v>
      </c>
      <c r="P12" s="41">
        <f>VLOOKUP(B12,基础数!$1:$1048576,8,FALSE)</f>
        <v>14.1063218390805</v>
      </c>
      <c r="Q12" s="38">
        <f>IF(P12="-",4.8,MAX(MIN(IF(P12&gt;'测算稿 '!P$6,('测算稿 '!P$6-P12)*0.2+4.8,('测算稿 '!P$6-P12)*0.2+4.8),6),0))</f>
        <v>6</v>
      </c>
      <c r="R12" s="41">
        <f>VLOOKUP(B12,基础数!$1:$1048576,9,FALSE)</f>
        <v>104.176136363636</v>
      </c>
      <c r="S12" s="38">
        <f>IF(R12="-",3.2,MAX(MIN(IF(R12&gt;'测算稿 '!R$6,('测算稿 '!R$6-R12)*0.05+3.2,('测算稿 '!R$6-R12)*0.05+3.2),4),0))</f>
        <v>4</v>
      </c>
      <c r="T12" s="47">
        <f>VLOOKUP(B12,基础数!$1:$1048576,10,FALSE)</f>
        <v>0.802385008517888</v>
      </c>
      <c r="U12" s="38">
        <f>IF(T12="-",8,IF(T12&lt;1,MAX(MIN(IF(T12&gt;'测算稿 '!T$6,(T12-'测算稿 '!T$6)*100*0.5+8,(T12-'测算稿 '!T$6)*100*0.2+8),10),0),10))</f>
        <v>6.22858535316726</v>
      </c>
      <c r="V12" s="47">
        <f>VLOOKUP(B12,基础数!$1:$1048576,11,FALSE)</f>
        <v>0.719262295081967</v>
      </c>
      <c r="W12" s="38">
        <f>IF(V12="-",8,IF(V12&lt;1,MAX(MIN(IF(V12&gt;'测算稿 '!V$6,(V12-'测算稿 '!V$6)*100*0.5+8,(V12-'测算稿 '!V$6)*100*0.2+8),10),0),10))</f>
        <v>7.69075489059824</v>
      </c>
      <c r="X12" s="47">
        <f>VLOOKUP(B12,基础数!$1:$1048576,12,FALSE)</f>
        <v>0.993917274939173</v>
      </c>
      <c r="Y12" s="38">
        <f>IF(X12='测算稿 '!X$6,8,IF(X12&lt;1,MAX(MIN(IF(X12&gt;'测算稿 '!X$6,(X12-'测算稿 '!X$6)*100*0.4+8,(X12-'测算稿 '!X$6)*100*0.2+8),10),0),10))</f>
        <v>9.1673142094092</v>
      </c>
      <c r="Z12" s="52">
        <v>5</v>
      </c>
      <c r="AA12" s="38">
        <f>MIN(MAX(IF(Z12=0,10,IF(Z12&lt;'[1]测算稿 '!Z$6,8+('[1]测算稿 '!Z$6-Z12)*2,8+('[1]测算稿 '!Z$6-Z12)*0.4)),0),10)</f>
        <v>6</v>
      </c>
      <c r="AB12" s="47">
        <f>VLOOKUP(B12,基础数!$1:$1048576,13,FALSE)</f>
        <v>0.000849617672047609</v>
      </c>
      <c r="AC12" s="47">
        <f>VLOOKUP(B12,基础数!$1:$1048576,14,FALSE)</f>
        <v>0.109425785482124</v>
      </c>
      <c r="AD12" s="47">
        <f>VLOOKUP(B12,基础数!$1:$1048576,15,FALSE)</f>
        <v>0.0048661800486618</v>
      </c>
      <c r="AE12" s="38">
        <f>MIN(2,IF(AB12&lt;'测算稿 '!AB$6*1.1,0,(AB12/'测算稿 '!AB$6-1.1)*10*0.4))+MIN(2,IF(AC12&lt;'测算稿 '!AC$6*1.1,0,(AC12/'测算稿 '!AC$6-1.1)*10*0.4))+MIN(2,IF(AD12&lt;'测算稿 '!AD$6*1.1,0,(AD12/'测算稿 '!AD$6-1.1)*10*0.4))</f>
        <v>0</v>
      </c>
    </row>
    <row r="13" s="28" customFormat="1" ht="15" customHeight="1" spans="1:31">
      <c r="A13" s="39">
        <f t="shared" si="0"/>
        <v>6</v>
      </c>
      <c r="B13" s="42" t="s">
        <v>34</v>
      </c>
      <c r="C13" s="36">
        <f t="shared" si="1"/>
        <v>80.7003449377334</v>
      </c>
      <c r="D13" s="41">
        <f>VLOOKUP(B13,基础数!$1:$1048576,2,FALSE)</f>
        <v>5.90921701602959</v>
      </c>
      <c r="E13" s="38">
        <f>IF(D13="-",9.6,MAX(MIN(IF(D13&gt;'测算稿 '!D$6,('测算稿 '!D$6-D13)*0.6+9.6,('测算稿 '!D$6-D13)*0.6+9.6),12),0))</f>
        <v>10.9872038853643</v>
      </c>
      <c r="F13" s="41">
        <f>VLOOKUP(B13,基础数!$1:$1048576,3,FALSE)</f>
        <v>115.793613707165</v>
      </c>
      <c r="G13" s="38">
        <f>IF(F13="-",6.4,MAX(MIN(IF(F13&gt;'测算稿 '!F$6,('测算稿 '!F$6-F13)*0.1+6.4,('测算稿 '!F$6-F13)*0.1+6.4),8),0))</f>
        <v>5.4262595345843</v>
      </c>
      <c r="H13" s="41">
        <f>VLOOKUP(B13,基础数!$1:$1048576,4,FALSE)</f>
        <v>9.47642543859649</v>
      </c>
      <c r="I13" s="38">
        <f>IF(H13="-",9.6,MAX(MIN(IF(H13&gt;'测算稿 '!H$6,('测算稿 '!H$6-H13)*0.3+9.6,('测算稿 '!H$6-H13)*0.6+9.6),12),0))</f>
        <v>12</v>
      </c>
      <c r="J13" s="41">
        <f>VLOOKUP(B13,基础数!$1:$1048576,5,FALSE)</f>
        <v>54.4675357873211</v>
      </c>
      <c r="K13" s="38">
        <f>IF(J13="-",6.4,MAX(MIN(IF(J13&gt;'测算稿 '!J$6,('测算稿 '!J$6-J13)*0.1+6.4,('测算稿 '!J$6-J13)*0.2+6.4),8),0))</f>
        <v>8</v>
      </c>
      <c r="L13" s="41">
        <f>VLOOKUP(B13,基础数!$1:$1048576,6,FALSE)</f>
        <v>7.57607033639144</v>
      </c>
      <c r="M13" s="38">
        <f>IF(L13="-",4.8,MAX(MIN(IF(L13&gt;'测算稿 '!L$6,('测算稿 '!L$6-L13)*0.2+4.8,('测算稿 '!L$6-L13)*0.2+4.8),6),0))</f>
        <v>6</v>
      </c>
      <c r="N13" s="41">
        <f>VLOOKUP(B13,基础数!$1:$1048576,7,FALSE)</f>
        <v>217.363888888889</v>
      </c>
      <c r="O13" s="38">
        <f>IF(N13="-",3.2,MAX(MIN(IF(N13&gt;'测算稿 '!N$6,('测算稿 '!N$6-N13)*0.05+3.2,('测算稿 '!N$6-N13)*0.05+3.2),4),0))</f>
        <v>0</v>
      </c>
      <c r="P13" s="41">
        <f>VLOOKUP(B13,基础数!$1:$1048576,8,FALSE)</f>
        <v>16.1769911504425</v>
      </c>
      <c r="Q13" s="38">
        <f>IF(P13="-",4.8,MAX(MIN(IF(P13&gt;'测算稿 '!P$6,('测算稿 '!P$6-P13)*0.2+4.8,('测算稿 '!P$6-P13)*0.2+4.8),6),0))</f>
        <v>6</v>
      </c>
      <c r="R13" s="41">
        <f>VLOOKUP(B13,基础数!$1:$1048576,9,FALSE)</f>
        <v>123.650568181818</v>
      </c>
      <c r="S13" s="38">
        <f>IF(R13="-",3.2,MAX(MIN(IF(R13&gt;'测算稿 '!R$6,('测算稿 '!R$6-R13)*0.05+3.2,('测算稿 '!R$6-R13)*0.05+3.2),4),0))</f>
        <v>3.6239916526375</v>
      </c>
      <c r="T13" s="47">
        <f>VLOOKUP(B13,基础数!$1:$1048576,10,FALSE)</f>
        <v>0.844653179190752</v>
      </c>
      <c r="U13" s="38">
        <f>IF(T13="-",8,IF(T13&lt;1,MAX(MIN(IF(T13&gt;'测算稿 '!T$6,(T13-'测算稿 '!T$6)*100*0.5+8,(T13-'测算稿 '!T$6)*100*0.2+8),10),0),10))</f>
        <v>7.07394876662454</v>
      </c>
      <c r="V13" s="47">
        <f>VLOOKUP(B13,基础数!$1:$1048576,11,FALSE)</f>
        <v>0.673146148308135</v>
      </c>
      <c r="W13" s="38">
        <f>IF(V13="-",8,IF(V13&lt;1,MAX(MIN(IF(V13&gt;'测算稿 '!V$6,(V13-'测算稿 '!V$6)*100*0.5+8,(V13-'测算稿 '!V$6)*100*0.2+8),10),0),10))</f>
        <v>6.7684319551216</v>
      </c>
      <c r="X13" s="47">
        <f>VLOOKUP(B13,基础数!$1:$1048576,12,FALSE)</f>
        <v>0.995247148288973</v>
      </c>
      <c r="Y13" s="38">
        <f>IF(X13='测算稿 '!X$6,8,IF(X13&lt;1,MAX(MIN(IF(X13&gt;'测算稿 '!X$6,(X13-'测算稿 '!X$6)*100*0.4+8,(X13-'测算稿 '!X$6)*100*0.2+8),10),0),10))</f>
        <v>9.2205091434012</v>
      </c>
      <c r="Z13" s="52">
        <v>6</v>
      </c>
      <c r="AA13" s="38">
        <f>MIN(MAX(IF(Z13=0,10,IF(Z13&lt;'[1]测算稿 '!Z$6,8+('[1]测算稿 '!Z$6-Z13)*2,8+('[1]测算稿 '!Z$6-Z13)*0.4)),0),10)</f>
        <v>5.6</v>
      </c>
      <c r="AB13" s="47">
        <f>VLOOKUP(B13,基础数!$1:$1048576,13,FALSE)</f>
        <v>0.00130753138075312</v>
      </c>
      <c r="AC13" s="47">
        <f>VLOOKUP(B13,基础数!$1:$1048576,14,FALSE)</f>
        <v>0.332063492063492</v>
      </c>
      <c r="AD13" s="47">
        <f>VLOOKUP(B13,基础数!$1:$1048576,15,FALSE)</f>
        <v>0.000950570342205323</v>
      </c>
      <c r="AE13" s="38">
        <f>MIN(2,IF(AB13&lt;'测算稿 '!AB$6*1.1,0,(AB13/'测算稿 '!AB$6-1.1)*10*0.4))+MIN(2,IF(AC13&lt;'测算稿 '!AC$6*1.1,0,(AC13/'测算稿 '!AC$6-1.1)*10*0.4))+MIN(2,IF(AD13&lt;'测算稿 '!AD$6*1.1,0,(AD13/'测算稿 '!AD$6-1.1)*10*0.4))</f>
        <v>0</v>
      </c>
    </row>
    <row r="14" s="28" customFormat="1" ht="15" customHeight="1" spans="1:31">
      <c r="A14" s="39">
        <f t="shared" si="0"/>
        <v>23</v>
      </c>
      <c r="B14" s="42" t="s">
        <v>123</v>
      </c>
      <c r="C14" s="36">
        <f t="shared" si="1"/>
        <v>66.5882160548589</v>
      </c>
      <c r="D14" s="41">
        <f>VLOOKUP(B14,基础数!$1:$1048576,2,FALSE)</f>
        <v>4.93603286384977</v>
      </c>
      <c r="E14" s="38">
        <f>IF(D14="-",9.6,MAX(MIN(IF(D14&gt;'测算稿 '!D$6,('测算稿 '!D$6-D14)*0.6+9.6,('测算稿 '!D$6-D14)*0.6+9.6),12),0))</f>
        <v>11.5711143766722</v>
      </c>
      <c r="F14" s="41">
        <f>VLOOKUP(B14,基础数!$1:$1048576,3,FALSE)</f>
        <v>84.4983333333333</v>
      </c>
      <c r="G14" s="38">
        <f>IF(F14="-",6.4,MAX(MIN(IF(F14&gt;'测算稿 '!F$6,('测算稿 '!F$6-F14)*0.1+6.4,('测算稿 '!F$6-F14)*0.1+6.4),8),0))</f>
        <v>8</v>
      </c>
      <c r="H14" s="41">
        <f>VLOOKUP(B14,基础数!$1:$1048576,4,FALSE)</f>
        <v>25.3833333333333</v>
      </c>
      <c r="I14" s="38">
        <f>IF(H14="-",9.6,MAX(MIN(IF(H14&gt;'测算稿 '!H$6,('测算稿 '!H$6-H14)*0.3+9.6,('测算稿 '!H$6-H14)*0.6+9.6),12),0))</f>
        <v>6.08517489711936</v>
      </c>
      <c r="J14" s="41">
        <f>VLOOKUP(B14,基础数!$1:$1048576,5,FALSE)</f>
        <v>221.791666666667</v>
      </c>
      <c r="K14" s="38">
        <f>IF(J14="-",6.4,MAX(MIN(IF(J14&gt;'测算稿 '!J$6,('测算稿 '!J$6-J14)*0.1+6.4,('测算稿 '!J$6-J14)*0.2+6.4),8),0))</f>
        <v>0</v>
      </c>
      <c r="L14" s="41">
        <f>VLOOKUP(B14,基础数!$1:$1048576,6,FALSE)</f>
        <v>24.0572916666667</v>
      </c>
      <c r="M14" s="38">
        <f>IF(L14="-",4.8,MAX(MIN(IF(L14&gt;'测算稿 '!L$6,('测算稿 '!L$6-L14)*0.2+4.8,('测算稿 '!L$6-L14)*0.2+4.8),6),0))</f>
        <v>2.8584723907767</v>
      </c>
      <c r="N14" s="41">
        <f>VLOOKUP(B14,基础数!$1:$1048576,7,FALSE)</f>
        <v>117.354166666667</v>
      </c>
      <c r="O14" s="38">
        <f>IF(N14="-",3.2,MAX(MIN(IF(N14&gt;'测算稿 '!N$6,('测算稿 '!N$6-N14)*0.05+3.2,('测算稿 '!N$6-N14)*0.05+3.2),4),0))</f>
        <v>4</v>
      </c>
      <c r="P14" s="41">
        <f>VLOOKUP(B14,基础数!$1:$1048576,8,FALSE)</f>
        <v>27.5803571428571</v>
      </c>
      <c r="Q14" s="38">
        <f>IF(P14="-",4.8,MAX(MIN(IF(P14&gt;'测算稿 '!P$6,('测算稿 '!P$6-P14)*0.2+4.8,('测算稿 '!P$6-P14)*0.2+4.8),6),0))</f>
        <v>5.19962611481376</v>
      </c>
      <c r="R14" s="41">
        <f>VLOOKUP(B14,基础数!$1:$1048576,9,FALSE)</f>
        <v>120.111111111111</v>
      </c>
      <c r="S14" s="38">
        <f>IF(R14="-",3.2,MAX(MIN(IF(R14&gt;'测算稿 '!R$6,('测算稿 '!R$6-R14)*0.05+3.2,('测算稿 '!R$6-R14)*0.05+3.2),4),0))</f>
        <v>3.80096450617285</v>
      </c>
      <c r="T14" s="47">
        <f>VLOOKUP(B14,基础数!$1:$1048576,10,FALSE)</f>
        <v>0.87378640776699</v>
      </c>
      <c r="U14" s="38">
        <f>IF(T14="-",8,IF(T14&lt;1,MAX(MIN(IF(T14&gt;'测算稿 '!T$6,(T14-'测算稿 '!T$6)*100*0.5+8,(T14-'测算稿 '!T$6)*100*0.2+8),10),0),10))</f>
        <v>7.6566133381493</v>
      </c>
      <c r="V14" s="47">
        <f>VLOOKUP(B14,基础数!$1:$1048576,11,FALSE)</f>
        <v>0.607843137254902</v>
      </c>
      <c r="W14" s="38">
        <f>IF(V14="-",8,IF(V14&lt;1,MAX(MIN(IF(V14&gt;'测算稿 '!V$6,(V14-'测算稿 '!V$6)*100*0.5+8,(V14-'测算稿 '!V$6)*100*0.2+8),10),0),10))</f>
        <v>5.46237173405694</v>
      </c>
      <c r="X14" s="47">
        <f>VLOOKUP(B14,基础数!$1:$1048576,12,FALSE)</f>
        <v>0.996987951807229</v>
      </c>
      <c r="Y14" s="38">
        <f>IF(X14='测算稿 '!X$6,8,IF(X14&lt;1,MAX(MIN(IF(X14&gt;'测算稿 '!X$6,(X14-'测算稿 '!X$6)*100*0.4+8,(X14-'测算稿 '!X$6)*100*0.2+8),10),0),10))</f>
        <v>9.29014128413144</v>
      </c>
      <c r="Z14" s="52">
        <v>7</v>
      </c>
      <c r="AA14" s="38">
        <f>MIN(MAX(IF(Z14=0,10,IF(Z14&lt;'[1]测算稿 '!Z$6,8+('[1]测算稿 '!Z$6-Z14)*2,8+('[1]测算稿 '!Z$6-Z14)*0.4)),0),10)</f>
        <v>5.2</v>
      </c>
      <c r="AB14" s="47">
        <f>VLOOKUP(B14,基础数!$1:$1048576,13,FALSE)</f>
        <v>0</v>
      </c>
      <c r="AC14" s="47">
        <f>VLOOKUP(B14,基础数!$1:$1048576,14,FALSE)</f>
        <v>0.385185185185185</v>
      </c>
      <c r="AD14" s="47">
        <f>VLOOKUP(B14,基础数!$1:$1048576,15,FALSE)</f>
        <v>0.0210843373493976</v>
      </c>
      <c r="AE14" s="38">
        <f>MIN(2,IF(AB14&lt;'测算稿 '!AB$6*1.1,0,(AB14/'测算稿 '!AB$6-1.1)*10*0.4))+MIN(2,IF(AC14&lt;'测算稿 '!AC$6*1.1,0,(AC14/'测算稿 '!AC$6-1.1)*10*0.4))+MIN(2,IF(AD14&lt;'测算稿 '!AD$6*1.1,0,(AD14/'测算稿 '!AD$6-1.1)*10*0.4))</f>
        <v>2.5362625870336</v>
      </c>
    </row>
    <row r="15" s="28" customFormat="1" ht="15" customHeight="1" spans="1:31">
      <c r="A15" s="39">
        <f t="shared" si="0"/>
        <v>25</v>
      </c>
      <c r="B15" s="40" t="s">
        <v>42</v>
      </c>
      <c r="C15" s="36">
        <f t="shared" si="1"/>
        <v>65.6274781489659</v>
      </c>
      <c r="D15" s="41">
        <f>VLOOKUP(B15,基础数!$1:$1048576,2,FALSE)</f>
        <v>5.99260265700483</v>
      </c>
      <c r="E15" s="38">
        <f>IF(D15="-",9.6,MAX(MIN(IF(D15&gt;'测算稿 '!D$6,('测算稿 '!D$6-D15)*0.6+9.6,('测算稿 '!D$6-D15)*0.6+9.6),12),0))</f>
        <v>10.9371725007792</v>
      </c>
      <c r="F15" s="41">
        <f>VLOOKUP(B15,基础数!$1:$1048576,3,FALSE)</f>
        <v>116.750925925926</v>
      </c>
      <c r="G15" s="38">
        <f>IF(F15="-",6.4,MAX(MIN(IF(F15&gt;'测算稿 '!F$6,('测算稿 '!F$6-F15)*0.1+6.4,('测算稿 '!F$6-F15)*0.1+6.4),8),0))</f>
        <v>5.3305283127082</v>
      </c>
      <c r="H15" s="41">
        <f>VLOOKUP(B15,基础数!$1:$1048576,4,FALSE)</f>
        <v>65.2279411764706</v>
      </c>
      <c r="I15" s="38">
        <f>IF(H15="-",9.6,MAX(MIN(IF(H15&gt;'测算稿 '!H$6,('测算稿 '!H$6-H15)*0.3+9.6,('测算稿 '!H$6-H15)*0.6+9.6),12),0))</f>
        <v>0</v>
      </c>
      <c r="J15" s="41">
        <f>VLOOKUP(B15,基础数!$1:$1048576,5,FALSE)</f>
        <v>131.041666666667</v>
      </c>
      <c r="K15" s="38">
        <f>IF(J15="-",6.4,MAX(MIN(IF(J15&gt;'测算稿 '!J$6,('测算稿 '!J$6-J15)*0.1+6.4,('测算稿 '!J$6-J15)*0.2+6.4),8),0))</f>
        <v>0.65142112615514</v>
      </c>
      <c r="L15" s="41">
        <f>VLOOKUP(B15,基础数!$1:$1048576,6,FALSE)</f>
        <v>7.32065217391304</v>
      </c>
      <c r="M15" s="38">
        <f>IF(L15="-",4.8,MAX(MIN(IF(L15&gt;'测算稿 '!L$6,('测算稿 '!L$6-L15)*0.2+4.8,('测算稿 '!L$6-L15)*0.2+4.8),6),0))</f>
        <v>6</v>
      </c>
      <c r="N15" s="41">
        <f>VLOOKUP(B15,基础数!$1:$1048576,7,FALSE)</f>
        <v>52.1964285714286</v>
      </c>
      <c r="O15" s="38">
        <f>IF(N15="-",3.2,MAX(MIN(IF(N15&gt;'测算稿 '!N$6,('测算稿 '!N$6-N15)*0.05+3.2,('测算稿 '!N$6-N15)*0.05+3.2),4),0))</f>
        <v>4</v>
      </c>
      <c r="P15" s="41">
        <f>VLOOKUP(B15,基础数!$1:$1048576,8,FALSE)</f>
        <v>29.5784877169259</v>
      </c>
      <c r="Q15" s="38">
        <f>IF(P15="-",4.8,MAX(MIN(IF(P15&gt;'测算稿 '!P$6,('测算稿 '!P$6-P15)*0.2+4.8,('测算稿 '!P$6-P15)*0.2+4.8),6),0))</f>
        <v>4.8</v>
      </c>
      <c r="R15" s="41">
        <f>VLOOKUP(B15,基础数!$1:$1048576,9,FALSE)</f>
        <v>16.0833333333333</v>
      </c>
      <c r="S15" s="38">
        <f>IF(R15="-",3.2,MAX(MIN(IF(R15&gt;'测算稿 '!R$6,('测算稿 '!R$6-R15)*0.05+3.2,('测算稿 '!R$6-R15)*0.05+3.2),4),0))</f>
        <v>4</v>
      </c>
      <c r="T15" s="47">
        <f>VLOOKUP(B15,基础数!$1:$1048576,10,FALSE)</f>
        <v>0.952020202020202</v>
      </c>
      <c r="U15" s="38">
        <f>IF(T15="-",8,IF(T15&lt;1,MAX(MIN(IF(T15&gt;'测算稿 '!T$6,(T15-'测算稿 '!T$6)*100*0.5+8,(T15-'测算稿 '!T$6)*100*0.2+8),10),0),10))</f>
        <v>10</v>
      </c>
      <c r="V15" s="47">
        <f>VLOOKUP(B15,基础数!$1:$1048576,11,FALSE)</f>
        <v>0.869565217391304</v>
      </c>
      <c r="W15" s="38">
        <f>IF(V15="-",8,IF(V15&lt;1,MAX(MIN(IF(V15&gt;'测算稿 '!V$6,(V15-'测算稿 '!V$6)*100*0.5+8,(V15-'测算稿 '!V$6)*100*0.2+8),10),0),10))</f>
        <v>10</v>
      </c>
      <c r="X15" s="47">
        <f>VLOOKUP(B15,基础数!$1:$1048576,12,FALSE)</f>
        <v>0.992443324937028</v>
      </c>
      <c r="Y15" s="38">
        <f>IF(X15='测算稿 '!X$6,8,IF(X15&lt;1,MAX(MIN(IF(X15&gt;'测算稿 '!X$6,(X15-'测算稿 '!X$6)*100*0.4+8,(X15-'测算稿 '!X$6)*100*0.2+8),10),0),10))</f>
        <v>9.1083562093234</v>
      </c>
      <c r="Z15" s="52">
        <v>8</v>
      </c>
      <c r="AA15" s="38">
        <f>MIN(MAX(IF(Z15=0,10,IF(Z15&lt;'[1]测算稿 '!Z$6,8+('[1]测算稿 '!Z$6-Z15)*2,8+('[1]测算稿 '!Z$6-Z15)*0.4)),0),10)</f>
        <v>4.8</v>
      </c>
      <c r="AB15" s="47">
        <f>VLOOKUP(B15,基础数!$1:$1048576,13,FALSE)</f>
        <v>0.134122287968442</v>
      </c>
      <c r="AC15" s="47">
        <f>VLOOKUP(B15,基础数!$1:$1048576,14,FALSE)</f>
        <v>0.0479616306954436</v>
      </c>
      <c r="AD15" s="47">
        <f>VLOOKUP(B15,基础数!$1:$1048576,15,FALSE)</f>
        <v>0.0151133501259446</v>
      </c>
      <c r="AE15" s="38">
        <f>MIN(2,IF(AB15&lt;'测算稿 '!AB$6*1.1,0,(AB15/'测算稿 '!AB$6-1.1)*10*0.4))+MIN(2,IF(AC15&lt;'测算稿 '!AC$6*1.1,0,(AC15/'测算稿 '!AC$6-1.1)*10*0.4))+MIN(2,IF(AD15&lt;'测算稿 '!AD$6*1.1,0,(AD15/'测算稿 '!AD$6-1.1)*10*0.4))</f>
        <v>4</v>
      </c>
    </row>
    <row r="16" s="28" customFormat="1" ht="15" customHeight="1" spans="1:31">
      <c r="A16" s="39">
        <f t="shared" si="0"/>
        <v>26</v>
      </c>
      <c r="B16" s="42" t="s">
        <v>124</v>
      </c>
      <c r="C16" s="36">
        <f t="shared" si="1"/>
        <v>64.4178516134662</v>
      </c>
      <c r="D16" s="41">
        <f>VLOOKUP(B16,基础数!$1:$1048576,2,FALSE)</f>
        <v>7.6987895716946</v>
      </c>
      <c r="E16" s="38">
        <f>IF(D16="-",9.6,MAX(MIN(IF(D16&gt;'测算稿 '!D$6,('测算稿 '!D$6-D16)*0.6+9.6,('测算稿 '!D$6-D16)*0.6+9.6),12),0))</f>
        <v>9.91346035196532</v>
      </c>
      <c r="F16" s="41">
        <f>VLOOKUP(B16,基础数!$1:$1048576,3,FALSE)</f>
        <v>130.069444444444</v>
      </c>
      <c r="G16" s="38">
        <f>IF(F16="-",6.4,MAX(MIN(IF(F16&gt;'测算稿 '!F$6,('测算稿 '!F$6-F16)*0.1+6.4,('测算稿 '!F$6-F16)*0.1+6.4),8),0))</f>
        <v>3.9986764608564</v>
      </c>
      <c r="H16" s="41">
        <f>VLOOKUP(B16,基础数!$1:$1048576,4,FALSE)</f>
        <v>37.0645833333333</v>
      </c>
      <c r="I16" s="38">
        <f>IF(H16="-",9.6,MAX(MIN(IF(H16&gt;'测算稿 '!H$6,('测算稿 '!H$6-H16)*0.3+9.6,('测算稿 '!H$6-H16)*0.6+9.6),12),0))</f>
        <v>2.58079989711936</v>
      </c>
      <c r="J16" s="41">
        <f>VLOOKUP(B16,基础数!$1:$1048576,5,FALSE)</f>
        <v>120.444444444444</v>
      </c>
      <c r="K16" s="38">
        <f>IF(J16="-",6.4,MAX(MIN(IF(J16&gt;'测算稿 '!J$6,('测算稿 '!J$6-J16)*0.1+6.4,('测算稿 '!J$6-J16)*0.2+6.4),8),0))</f>
        <v>1.71114334837744</v>
      </c>
      <c r="L16" s="41">
        <f>VLOOKUP(B16,基础数!$1:$1048576,6,FALSE)</f>
        <v>5.55555555555556</v>
      </c>
      <c r="M16" s="38">
        <f>IF(L16="-",4.8,MAX(MIN(IF(L16&gt;'测算稿 '!L$6,('测算稿 '!L$6-L16)*0.2+4.8,('测算稿 '!L$6-L16)*0.2+4.8),6),0))</f>
        <v>6</v>
      </c>
      <c r="N16" s="41">
        <f>VLOOKUP(B16,基础数!$1:$1048576,7,FALSE)</f>
        <v>40.6875</v>
      </c>
      <c r="O16" s="38">
        <f>IF(N16="-",3.2,MAX(MIN(IF(N16&gt;'测算稿 '!N$6,('测算稿 '!N$6-N16)*0.05+3.2,('测算稿 '!N$6-N16)*0.05+3.2),4),0))</f>
        <v>4</v>
      </c>
      <c r="P16" s="41">
        <f>VLOOKUP(B16,基础数!$1:$1048576,8,FALSE)</f>
        <v>29.5784877169259</v>
      </c>
      <c r="Q16" s="38">
        <f>IF(P16="-",4.8,MAX(MIN(IF(P16&gt;'测算稿 '!P$6,('测算稿 '!P$6-P16)*0.2+4.8,('测算稿 '!P$6-P16)*0.2+4.8),6),0))</f>
        <v>4.8</v>
      </c>
      <c r="R16" s="41">
        <f>VLOOKUP(B16,基础数!$1:$1048576,9,FALSE)</f>
        <v>132.130401234568</v>
      </c>
      <c r="S16" s="38">
        <f>IF(R16="-",3.2,MAX(MIN(IF(R16&gt;'测算稿 '!R$6,('测算稿 '!R$6-R16)*0.05+3.2,('测算稿 '!R$6-R16)*0.05+3.2),4),0))</f>
        <v>3.2</v>
      </c>
      <c r="T16" s="47">
        <f>VLOOKUP(B16,基础数!$1:$1048576,10,FALSE)</f>
        <v>0.806691449814127</v>
      </c>
      <c r="U16" s="38">
        <f>IF(T16="-",8,IF(T16&lt;1,MAX(MIN(IF(T16&gt;'测算稿 '!T$6,(T16-'测算稿 '!T$6)*100*0.5+8,(T16-'测算稿 '!T$6)*100*0.2+8),10),0),10))</f>
        <v>6.31471417909204</v>
      </c>
      <c r="V16" s="47">
        <f>VLOOKUP(B16,基础数!$1:$1048576,11,FALSE)</f>
        <v>0.709677419354839</v>
      </c>
      <c r="W16" s="38">
        <f>IF(V16="-",8,IF(V16&lt;1,MAX(MIN(IF(V16&gt;'测算稿 '!V$6,(V16-'测算稿 '!V$6)*100*0.5+8,(V16-'测算稿 '!V$6)*100*0.2+8),10),0),10))</f>
        <v>7.49905737605568</v>
      </c>
      <c r="X16" s="47">
        <f>VLOOKUP(B16,基础数!$1:$1048576,12,FALSE)</f>
        <v>1.02928870292887</v>
      </c>
      <c r="Y16" s="38">
        <f>IF(X16='测算稿 '!X$6,8,IF(X16&lt;1,MAX(MIN(IF(X16&gt;'测算稿 '!X$6,(X16-'测算稿 '!X$6)*100*0.4+8,(X16-'测算稿 '!X$6)*100*0.2+8),10),0),10))</f>
        <v>10</v>
      </c>
      <c r="Z16" s="52">
        <v>9</v>
      </c>
      <c r="AA16" s="38">
        <f>MIN(MAX(IF(Z16=0,10,IF(Z16&lt;'[1]测算稿 '!Z$6,8+('[1]测算稿 '!Z$6-Z16)*2,8+('[1]测算稿 '!Z$6-Z16)*0.4)),0),10)</f>
        <v>4.4</v>
      </c>
      <c r="AB16" s="47">
        <f>VLOOKUP(B16,基础数!$1:$1048576,13,FALSE)</f>
        <v>0</v>
      </c>
      <c r="AC16" s="47">
        <f>VLOOKUP(B16,基础数!$1:$1048576,14,FALSE)</f>
        <v>0.299120234604106</v>
      </c>
      <c r="AD16" s="47">
        <f>VLOOKUP(B16,基础数!$1:$1048576,15,FALSE)</f>
        <v>0</v>
      </c>
      <c r="AE16" s="38">
        <f>MIN(2,IF(AB16&lt;'测算稿 '!AB$6*1.1,0,(AB16/'测算稿 '!AB$6-1.1)*10*0.4))+MIN(2,IF(AC16&lt;'测算稿 '!AC$6*1.1,0,(AC16/'测算稿 '!AC$6-1.1)*10*0.4))+MIN(2,IF(AD16&lt;'测算稿 '!AD$6*1.1,0,(AD16/'测算稿 '!AD$6-1.1)*10*0.4))</f>
        <v>0</v>
      </c>
    </row>
    <row r="17" s="29" customFormat="1" ht="15" customHeight="1" spans="1:31">
      <c r="A17" s="39">
        <f t="shared" si="0"/>
        <v>5</v>
      </c>
      <c r="B17" s="43" t="s">
        <v>125</v>
      </c>
      <c r="C17" s="36">
        <f t="shared" si="1"/>
        <v>83.6145638905076</v>
      </c>
      <c r="D17" s="41">
        <f>VLOOKUP(B17,基础数!$1:$1048576,2,FALSE)</f>
        <v>8.2212234916368</v>
      </c>
      <c r="E17" s="38">
        <f>IF(D17="-",9.6,MAX(MIN(IF(D17&gt;'测算稿 '!D$6,('测算稿 '!D$6-D17)*0.6+9.6,('测算稿 '!D$6-D17)*0.6+9.6),12),0))</f>
        <v>9.6</v>
      </c>
      <c r="F17" s="41">
        <f>VLOOKUP(B17,基础数!$1:$1048576,3,FALSE)</f>
        <v>106.056209053008</v>
      </c>
      <c r="G17" s="38">
        <f>IF(F17="-",6.4,MAX(MIN(IF(F17&gt;'测算稿 '!F$6,('测算稿 '!F$6-F17)*0.1+6.4,('测算稿 '!F$6-F17)*0.1+6.4),8),0))</f>
        <v>6.4</v>
      </c>
      <c r="H17" s="41">
        <f>VLOOKUP(B17,基础数!$1:$1048576,4,FALSE)</f>
        <v>13.6672496570645</v>
      </c>
      <c r="I17" s="38">
        <f>IF(H17="-",9.6,MAX(MIN(IF(H17&gt;'测算稿 '!H$6,('测算稿 '!H$6-H17)*0.3+9.6,('测算稿 '!H$6-H17)*0.6+9.6),12),0))</f>
        <v>9.6</v>
      </c>
      <c r="J17" s="41">
        <f>VLOOKUP(B17,基础数!$1:$1048576,5,FALSE)</f>
        <v>73.5558779282184</v>
      </c>
      <c r="K17" s="38">
        <f>IF(J17="-",6.4,MAX(MIN(IF(J17&gt;'测算稿 '!J$6,('测算稿 '!J$6-J17)*0.1+6.4,('测算稿 '!J$6-J17)*0.2+6.4),8),0))</f>
        <v>6.4</v>
      </c>
      <c r="L17" s="41">
        <f>VLOOKUP(B17,基础数!$1:$1048576,6,FALSE)</f>
        <v>11.9090909090909</v>
      </c>
      <c r="M17" s="38">
        <f>IF(L17="-",4.8,MAX(MIN(IF(L17&gt;'测算稿 '!L$6,('测算稿 '!L$6-L17)*0.2+4.8,('测算稿 '!L$6-L17)*0.2+4.8),6),0))</f>
        <v>5.28811254229186</v>
      </c>
      <c r="N17" s="41">
        <f>VLOOKUP(B17,基础数!$1:$1048576,7,FALSE)</f>
        <v>106.891666666667</v>
      </c>
      <c r="O17" s="38">
        <f>IF(N17="-",3.2,MAX(MIN(IF(N17&gt;'测算稿 '!N$6,('测算稿 '!N$6-N17)*0.05+3.2,('测算稿 '!N$6-N17)*0.05+3.2),4),0))</f>
        <v>4</v>
      </c>
      <c r="P17" s="41">
        <f>VLOOKUP(B17,基础数!$1:$1048576,8,FALSE)</f>
        <v>13.3777777777778</v>
      </c>
      <c r="Q17" s="38">
        <f>IF(P17="-",4.8,MAX(MIN(IF(P17&gt;'测算稿 '!P$6,('测算稿 '!P$6-P17)*0.2+4.8,('测算稿 '!P$6-P17)*0.2+4.8),6),0))</f>
        <v>6</v>
      </c>
      <c r="R17" s="41">
        <f>VLOOKUP(B17,基础数!$1:$1048576,9,FALSE)</f>
        <v>82.5333333333333</v>
      </c>
      <c r="S17" s="38">
        <f>IF(R17="-",3.2,MAX(MIN(IF(R17&gt;'测算稿 '!R$6,('测算稿 '!R$6-R17)*0.05+3.2,('测算稿 '!R$6-R17)*0.05+3.2),4),0))</f>
        <v>4</v>
      </c>
      <c r="T17" s="47">
        <f>VLOOKUP(B17,基础数!$1:$1048576,10,FALSE)</f>
        <v>1.23076923076923</v>
      </c>
      <c r="U17" s="38">
        <f>IF(T17="-",8,IF(T17&lt;1,MAX(MIN(IF(T17&gt;'测算稿 '!T$6,(T17-'测算稿 '!T$6)*100*0.5+8,(T17-'测算稿 '!T$6)*100*0.2+8),10),0),10))</f>
        <v>10</v>
      </c>
      <c r="V17" s="47">
        <f>VLOOKUP(B17,基础数!$1:$1048576,11,FALSE)</f>
        <v>1.23529411764706</v>
      </c>
      <c r="W17" s="38">
        <f>IF(V17="-",8,IF(V17&lt;1,MAX(MIN(IF(V17&gt;'测算稿 '!V$6,(V17-'测算稿 '!V$6)*100*0.5+8,(V17-'测算稿 '!V$6)*100*0.2+8),10),0),10))</f>
        <v>10</v>
      </c>
      <c r="X17" s="47">
        <f>VLOOKUP(B17,基础数!$1:$1048576,12,FALSE)</f>
        <v>0.981132075471698</v>
      </c>
      <c r="Y17" s="38">
        <f>IF(X17='测算稿 '!X$6,8,IF(X17&lt;1,MAX(MIN(IF(X17&gt;'测算稿 '!X$6,(X17-'测算稿 '!X$6)*100*0.4+8,(X17-'测算稿 '!X$6)*100*0.2+8),10),0),10))</f>
        <v>8.6559062307102</v>
      </c>
      <c r="Z17" s="52">
        <v>10</v>
      </c>
      <c r="AA17" s="38">
        <f>MIN(MAX(IF(Z17=0,10,IF(Z17&lt;'[1]测算稿 '!Z$6,8+('[1]测算稿 '!Z$6-Z17)*2,8+('[1]测算稿 '!Z$6-Z17)*0.4)),0),10)</f>
        <v>4</v>
      </c>
      <c r="AB17" s="47">
        <f>VLOOKUP(B17,基础数!$1:$1048576,13,FALSE)</f>
        <v>0</v>
      </c>
      <c r="AC17" s="47">
        <f>VLOOKUP(B17,基础数!$1:$1048576,14,FALSE)</f>
        <v>0.369047619047619</v>
      </c>
      <c r="AD17" s="47">
        <f>VLOOKUP(B17,基础数!$1:$1048576,15,FALSE)</f>
        <v>0</v>
      </c>
      <c r="AE17" s="38">
        <f>MIN(2,IF(AB17&lt;'测算稿 '!AB$6*1.1,0,(AB17/'测算稿 '!AB$6-1.1)*10*0.4))+MIN(2,IF(AC17&lt;'测算稿 '!AC$6*1.1,0,(AC17/'测算稿 '!AC$6-1.1)*10*0.4))+MIN(2,IF(AD17&lt;'测算稿 '!AD$6*1.1,0,(AD17/'测算稿 '!AD$6-1.1)*10*0.4))</f>
        <v>0.329454882494423</v>
      </c>
    </row>
    <row r="18" s="28" customFormat="1" ht="15" customHeight="1" spans="1:31">
      <c r="A18" s="39">
        <f t="shared" si="0"/>
        <v>13</v>
      </c>
      <c r="B18" s="40" t="s">
        <v>126</v>
      </c>
      <c r="C18" s="36">
        <f t="shared" si="1"/>
        <v>76.4326672486764</v>
      </c>
      <c r="D18" s="41">
        <f>VLOOKUP(B18,基础数!$1:$1048576,2,FALSE)</f>
        <v>5.26512096774194</v>
      </c>
      <c r="E18" s="38">
        <f>IF(D18="-",9.6,MAX(MIN(IF(D18&gt;'测算稿 '!D$6,('测算稿 '!D$6-D18)*0.6+9.6,('测算稿 '!D$6-D18)*0.6+9.6),12),0))</f>
        <v>11.3736615143369</v>
      </c>
      <c r="F18" s="41">
        <f>VLOOKUP(B18,基础数!$1:$1048576,3,FALSE)</f>
        <v>120.002604166667</v>
      </c>
      <c r="G18" s="38">
        <f>IF(F18="-",6.4,MAX(MIN(IF(F18&gt;'测算稿 '!F$6,('测算稿 '!F$6-F18)*0.1+6.4,('测算稿 '!F$6-F18)*0.1+6.4),8),0))</f>
        <v>5.0053604886341</v>
      </c>
      <c r="H18" s="41">
        <f>VLOOKUP(B18,基础数!$1:$1048576,4,FALSE)</f>
        <v>18.8314950980392</v>
      </c>
      <c r="I18" s="38">
        <f>IF(H18="-",9.6,MAX(MIN(IF(H18&gt;'测算稿 '!H$6,('测算稿 '!H$6-H18)*0.3+9.6,('测算稿 '!H$6-H18)*0.6+9.6),12),0))</f>
        <v>8.05072636770759</v>
      </c>
      <c r="J18" s="41">
        <f>VLOOKUP(B18,基础数!$1:$1048576,5,FALSE)</f>
        <v>23.2208333333333</v>
      </c>
      <c r="K18" s="38">
        <f>IF(J18="-",6.4,MAX(MIN(IF(J18&gt;'测算稿 '!J$6,('测算稿 '!J$6-J18)*0.1+6.4,('测算稿 '!J$6-J18)*0.2+6.4),8),0))</f>
        <v>8</v>
      </c>
      <c r="L18" s="41">
        <f>VLOOKUP(B18,基础数!$1:$1048576,6,FALSE)</f>
        <v>11.5014880952381</v>
      </c>
      <c r="M18" s="38">
        <f>IF(L18="-",4.8,MAX(MIN(IF(L18&gt;'测算稿 '!L$6,('测算稿 '!L$6-L18)*0.2+4.8,('测算稿 '!L$6-L18)*0.2+4.8),6),0))</f>
        <v>5.36963310506242</v>
      </c>
      <c r="N18" s="41">
        <f>VLOOKUP(B18,基础数!$1:$1048576,7,FALSE)</f>
        <v>47.1416666666667</v>
      </c>
      <c r="O18" s="38">
        <f>IF(N18="-",3.2,MAX(MIN(IF(N18&gt;'测算稿 '!N$6,('测算稿 '!N$6-N18)*0.05+3.2,('测算稿 '!N$6-N18)*0.05+3.2),4),0))</f>
        <v>4</v>
      </c>
      <c r="P18" s="41">
        <f>VLOOKUP(B18,基础数!$1:$1048576,8,FALSE)</f>
        <v>31.475</v>
      </c>
      <c r="Q18" s="38">
        <f>IF(P18="-",4.8,MAX(MIN(IF(P18&gt;'测算稿 '!P$6,('测算稿 '!P$6-P18)*0.2+4.8,('测算稿 '!P$6-P18)*0.2+4.8),6),0))</f>
        <v>4.42069754338518</v>
      </c>
      <c r="R18" s="41">
        <f>VLOOKUP(B18,基础数!$1:$1048576,9,FALSE)</f>
        <v>120.291666666667</v>
      </c>
      <c r="S18" s="38">
        <f>IF(R18="-",3.2,MAX(MIN(IF(R18&gt;'测算稿 '!R$6,('测算稿 '!R$6-R18)*0.05+3.2,('测算稿 '!R$6-R18)*0.05+3.2),4),0))</f>
        <v>3.79193672839505</v>
      </c>
      <c r="T18" s="47">
        <f>VLOOKUP(B18,基础数!$1:$1048576,10,FALSE)</f>
        <v>0.900523560209424</v>
      </c>
      <c r="U18" s="38">
        <f>IF(T18="-",8,IF(T18&lt;1,MAX(MIN(IF(T18&gt;'测算稿 '!T$6,(T18-'测算稿 '!T$6)*100*0.5+8,(T18-'测算稿 '!T$6)*100*0.2+8),10),0),10))</f>
        <v>8.47839096749495</v>
      </c>
      <c r="V18" s="47">
        <f>VLOOKUP(B18,基础数!$1:$1048576,11,FALSE)</f>
        <v>0.732824427480916</v>
      </c>
      <c r="W18" s="38">
        <f>IF(V18="-",8,IF(V18&lt;1,MAX(MIN(IF(V18&gt;'测算稿 '!V$6,(V18-'测算稿 '!V$6)*100*0.5+8,(V18-'测算稿 '!V$6)*100*0.2+8),10),0),10))</f>
        <v>7.96199753857722</v>
      </c>
      <c r="X18" s="47">
        <f>VLOOKUP(B18,基础数!$1:$1048576,12,FALSE)</f>
        <v>0.992537313432836</v>
      </c>
      <c r="Y18" s="38">
        <f>IF(X18='测算稿 '!X$6,8,IF(X18&lt;1,MAX(MIN(IF(X18&gt;'测算稿 '!X$6,(X18-'测算稿 '!X$6)*100*0.4+8,(X18-'测算稿 '!X$6)*100*0.2+8),10),0),10))</f>
        <v>9.11211574915572</v>
      </c>
      <c r="Z18" s="52">
        <v>11</v>
      </c>
      <c r="AA18" s="38">
        <f>MIN(MAX(IF(Z18=0,10,IF(Z18&lt;'[1]测算稿 '!Z$6,8+('[1]测算稿 '!Z$6-Z18)*2,8+('[1]测算稿 '!Z$6-Z18)*0.4)),0),10)</f>
        <v>3.6</v>
      </c>
      <c r="AB18" s="47">
        <f>VLOOKUP(B18,基础数!$1:$1048576,13,FALSE)</f>
        <v>0</v>
      </c>
      <c r="AC18" s="47">
        <f>VLOOKUP(B18,基础数!$1:$1048576,14,FALSE)</f>
        <v>0.400447427293065</v>
      </c>
      <c r="AD18" s="47">
        <f>VLOOKUP(B18,基础数!$1:$1048576,15,FALSE)</f>
        <v>0.0111940298507463</v>
      </c>
      <c r="AE18" s="38">
        <f>MIN(2,IF(AB18&lt;'测算稿 '!AB$6*1.1,0,(AB18/'测算稿 '!AB$6-1.1)*10*0.4))+MIN(2,IF(AC18&lt;'测算稿 '!AC$6*1.1,0,(AC18/'测算稿 '!AC$6-1.1)*10*0.4))+MIN(2,IF(AD18&lt;'测算稿 '!AD$6*1.1,0,(AD18/'测算稿 '!AD$6-1.1)*10*0.4))</f>
        <v>2.73185275407276</v>
      </c>
    </row>
    <row r="19" s="28" customFormat="1" ht="15" customHeight="1" spans="1:31">
      <c r="A19" s="39">
        <f t="shared" si="0"/>
        <v>22</v>
      </c>
      <c r="B19" s="40" t="s">
        <v>127</v>
      </c>
      <c r="C19" s="36">
        <f t="shared" si="1"/>
        <v>67.8689239091298</v>
      </c>
      <c r="D19" s="41">
        <f>VLOOKUP(B19,基础数!$1:$1048576,2,FALSE)</f>
        <v>9.48563408190225</v>
      </c>
      <c r="E19" s="38">
        <f>IF(D19="-",9.6,MAX(MIN(IF(D19&gt;'测算稿 '!D$6,('测算稿 '!D$6-D19)*0.6+9.6,('测算稿 '!D$6-D19)*0.6+9.6),12),0))</f>
        <v>8.84135364584073</v>
      </c>
      <c r="F19" s="41">
        <f>VLOOKUP(B19,基础数!$1:$1048576,3,FALSE)</f>
        <v>115.30173992674</v>
      </c>
      <c r="G19" s="38">
        <f>IF(F19="-",6.4,MAX(MIN(IF(F19&gt;'测算稿 '!F$6,('测算稿 '!F$6-F19)*0.1+6.4,('测算稿 '!F$6-F19)*0.1+6.4),8),0))</f>
        <v>5.4754469126268</v>
      </c>
      <c r="H19" s="41">
        <f>VLOOKUP(B19,基础数!$1:$1048576,4,FALSE)</f>
        <v>10.3649058894961</v>
      </c>
      <c r="I19" s="38">
        <f>IF(H19="-",9.6,MAX(MIN(IF(H19&gt;'测算稿 '!H$6,('测算稿 '!H$6-H19)*0.3+9.6,('测算稿 '!H$6-H19)*0.6+9.6),12),0))</f>
        <v>11.581406260541</v>
      </c>
      <c r="J19" s="41">
        <f>VLOOKUP(B19,基础数!$1:$1048576,5,FALSE)</f>
        <v>96.9982142857143</v>
      </c>
      <c r="K19" s="38">
        <f>IF(J19="-",6.4,MAX(MIN(IF(J19&gt;'测算稿 '!J$6,('测算稿 '!J$6-J19)*0.1+6.4,('测算稿 '!J$6-J19)*0.2+6.4),8),0))</f>
        <v>4.05576636425041</v>
      </c>
      <c r="L19" s="41">
        <f>VLOOKUP(B19,基础数!$1:$1048576,6,FALSE)</f>
        <v>9.4497311827957</v>
      </c>
      <c r="M19" s="38">
        <f>IF(L19="-",4.8,MAX(MIN(IF(L19&gt;'测算稿 '!L$6,('测算稿 '!L$6-L19)*0.2+4.8,('测算稿 '!L$6-L19)*0.2+4.8),6),0))</f>
        <v>5.7799844875509</v>
      </c>
      <c r="N19" s="41">
        <f>VLOOKUP(B19,基础数!$1:$1048576,7,FALSE)</f>
        <v>210.886904761905</v>
      </c>
      <c r="O19" s="38">
        <f>IF(N19="-",3.2,MAX(MIN(IF(N19&gt;'测算稿 '!N$6,('测算稿 '!N$6-N19)*0.05+3.2,('测算稿 '!N$6-N19)*0.05+3.2),4),0))</f>
        <v>0.0292287561576003</v>
      </c>
      <c r="P19" s="41">
        <f>VLOOKUP(B19,基础数!$1:$1048576,8,FALSE)</f>
        <v>24.7436224489796</v>
      </c>
      <c r="Q19" s="38">
        <f>IF(P19="-",4.8,MAX(MIN(IF(P19&gt;'测算稿 '!P$6,('测算稿 '!P$6-P19)*0.2+4.8,('测算稿 '!P$6-P19)*0.2+4.8),6),0))</f>
        <v>5.76697305358926</v>
      </c>
      <c r="R19" s="41">
        <f>VLOOKUP(B19,基础数!$1:$1048576,9,FALSE)</f>
        <v>124.717857142857</v>
      </c>
      <c r="S19" s="38">
        <f>IF(R19="-",3.2,MAX(MIN(IF(R19&gt;'测算稿 '!R$6,('测算稿 '!R$6-R19)*0.05+3.2,('测算稿 '!R$6-R19)*0.05+3.2),4),0))</f>
        <v>3.57062720458555</v>
      </c>
      <c r="T19" s="47">
        <f>VLOOKUP(B19,基础数!$1:$1048576,10,FALSE)</f>
        <v>0.810007818608288</v>
      </c>
      <c r="U19" s="38">
        <f>IF(T19="-",8,IF(T19&lt;1,MAX(MIN(IF(T19&gt;'测算稿 '!T$6,(T19-'测算稿 '!T$6)*100*0.5+8,(T19-'测算稿 '!T$6)*100*0.2+8),10),0),10))</f>
        <v>6.38104155497526</v>
      </c>
      <c r="V19" s="47">
        <f>VLOOKUP(B19,基础数!$1:$1048576,11,FALSE)</f>
        <v>0.701121794871795</v>
      </c>
      <c r="W19" s="38">
        <f>IF(V19="-",8,IF(V19&lt;1,MAX(MIN(IF(V19&gt;'测算稿 '!V$6,(V19-'测算稿 '!V$6)*100*0.5+8,(V19-'测算稿 '!V$6)*100*0.2+8),10),0),10))</f>
        <v>7.3279448863948</v>
      </c>
      <c r="X19" s="47">
        <f>VLOOKUP(B19,基础数!$1:$1048576,12,FALSE)</f>
        <v>0.929356357927787</v>
      </c>
      <c r="Y19" s="38">
        <f>IF(X19='测算稿 '!X$6,8,IF(X19&lt;1,MAX(MIN(IF(X19&gt;'测算稿 '!X$6,(X19-'测算稿 '!X$6)*100*0.4+8,(X19-'测算稿 '!X$6)*100*0.2+8),10),0),10))</f>
        <v>7.29243876447688</v>
      </c>
      <c r="Z19" s="52">
        <v>12</v>
      </c>
      <c r="AA19" s="38">
        <f>MIN(MAX(IF(Z19=0,10,IF(Z19&lt;'[1]测算稿 '!Z$6,8+('[1]测算稿 '!Z$6-Z19)*2,8+('[1]测算稿 '!Z$6-Z19)*0.4)),0),10)</f>
        <v>3.2</v>
      </c>
      <c r="AB19" s="47">
        <f>VLOOKUP(B19,基础数!$1:$1048576,13,FALSE)</f>
        <v>0.00598265031408918</v>
      </c>
      <c r="AC19" s="47">
        <f>VLOOKUP(B19,基础数!$1:$1048576,14,FALSE)</f>
        <v>0.294052456594016</v>
      </c>
      <c r="AD19" s="47">
        <f>VLOOKUP(B19,基础数!$1:$1048576,15,FALSE)</f>
        <v>0.00680272108843537</v>
      </c>
      <c r="AE19" s="38">
        <f>MIN(2,IF(AB19&lt;'测算稿 '!AB$6*1.1,0,(AB19/'测算稿 '!AB$6-1.1)*10*0.4))+MIN(2,IF(AC19&lt;'测算稿 '!AC$6*1.1,0,(AC19/'测算稿 '!AC$6-1.1)*10*0.4))+MIN(2,IF(AD19&lt;'测算稿 '!AD$6*1.1,0,(AD19/'测算稿 '!AD$6-1.1)*10*0.4))</f>
        <v>1.43328798185941</v>
      </c>
    </row>
    <row r="20" s="28" customFormat="1" ht="15" customHeight="1" spans="1:31">
      <c r="A20" s="39">
        <f t="shared" si="0"/>
        <v>19</v>
      </c>
      <c r="B20" s="42" t="s">
        <v>128</v>
      </c>
      <c r="C20" s="36">
        <f t="shared" si="1"/>
        <v>71.8420523220042</v>
      </c>
      <c r="D20" s="41">
        <f>VLOOKUP(B20,基础数!$1:$1048576,2,FALSE)</f>
        <v>4.66159188034188</v>
      </c>
      <c r="E20" s="38">
        <f>IF(D20="-",9.6,MAX(MIN(IF(D20&gt;'测算稿 '!D$6,('测算稿 '!D$6-D20)*0.6+9.6,('测算稿 '!D$6-D20)*0.6+9.6),12),0))</f>
        <v>11.735778966777</v>
      </c>
      <c r="F20" s="41">
        <f>VLOOKUP(B20,基础数!$1:$1048576,3,FALSE)</f>
        <v>164.066056910569</v>
      </c>
      <c r="G20" s="38">
        <f>IF(F20="-",6.4,MAX(MIN(IF(F20&gt;'测算稿 '!F$6,('测算稿 '!F$6-F20)*0.1+6.4,('测算稿 '!F$6-F20)*0.1+6.4),8),0))</f>
        <v>0.599015214243901</v>
      </c>
      <c r="H20" s="41">
        <f>VLOOKUP(B20,基础数!$1:$1048576,4,FALSE)</f>
        <v>13.2904411764706</v>
      </c>
      <c r="I20" s="38">
        <f>IF(H20="-",9.6,MAX(MIN(IF(H20&gt;'测算稿 '!H$6,('测算稿 '!H$6-H20)*0.3+9.6,('测算稿 '!H$6-H20)*0.6+9.6),12),0))</f>
        <v>9.82608508835634</v>
      </c>
      <c r="J20" s="41">
        <f>VLOOKUP(B20,基础数!$1:$1048576,5,FALSE)</f>
        <v>213.712121212121</v>
      </c>
      <c r="K20" s="38">
        <f>IF(J20="-",6.4,MAX(MIN(IF(J20&gt;'测算稿 '!J$6,('测算稿 '!J$6-J20)*0.1+6.4,('测算稿 '!J$6-J20)*0.2+6.4),8),0))</f>
        <v>0</v>
      </c>
      <c r="L20" s="41">
        <f>VLOOKUP(B20,基础数!$1:$1048576,6,FALSE)</f>
        <v>4.86950549450549</v>
      </c>
      <c r="M20" s="38">
        <f>IF(L20="-",4.8,MAX(MIN(IF(L20&gt;'测算稿 '!L$6,('测算稿 '!L$6-L20)*0.2+4.8,('测算稿 '!L$6-L20)*0.2+4.8),6),0))</f>
        <v>6</v>
      </c>
      <c r="N20" s="41">
        <f>VLOOKUP(B20,基础数!$1:$1048576,7,FALSE)</f>
        <v>56.3452380952381</v>
      </c>
      <c r="O20" s="38">
        <f>IF(N20="-",3.2,MAX(MIN(IF(N20&gt;'测算稿 '!N$6,('测算稿 '!N$6-N20)*0.05+3.2,('测算稿 '!N$6-N20)*0.05+3.2),4),0))</f>
        <v>4</v>
      </c>
      <c r="P20" s="41">
        <f>VLOOKUP(B20,基础数!$1:$1048576,8,FALSE)</f>
        <v>8.67987804878049</v>
      </c>
      <c r="Q20" s="38">
        <f>IF(P20="-",4.8,MAX(MIN(IF(P20&gt;'测算稿 '!P$6,('测算稿 '!P$6-P20)*0.2+4.8,('测算稿 '!P$6-P20)*0.2+4.8),6),0))</f>
        <v>6</v>
      </c>
      <c r="R20" s="41">
        <f>VLOOKUP(B20,基础数!$1:$1048576,9,FALSE)</f>
        <v>43.5243055555556</v>
      </c>
      <c r="S20" s="38">
        <f>IF(R20="-",3.2,MAX(MIN(IF(R20&gt;'测算稿 '!R$6,('测算稿 '!R$6-R20)*0.05+3.2,('测算稿 '!R$6-R20)*0.05+3.2),4),0))</f>
        <v>4</v>
      </c>
      <c r="T20" s="47">
        <f>VLOOKUP(B20,基础数!$1:$1048576,10,FALSE)</f>
        <v>0.949895615866388</v>
      </c>
      <c r="U20" s="38">
        <f>IF(T20="-",8,IF(T20&lt;1,MAX(MIN(IF(T20&gt;'测算稿 '!T$6,(T20-'测算稿 '!T$6)*100*0.5+8,(T20-'测算稿 '!T$6)*100*0.2+8),10),0),10))</f>
        <v>10</v>
      </c>
      <c r="V20" s="47">
        <f>VLOOKUP(B20,基础数!$1:$1048576,11,FALSE)</f>
        <v>0.831730769230769</v>
      </c>
      <c r="W20" s="38">
        <f>IF(V20="-",8,IF(V20&lt;1,MAX(MIN(IF(V20&gt;'测算稿 '!V$6,(V20-'测算稿 '!V$6)*100*0.5+8,(V20-'测算稿 '!V$6)*100*0.2+8),10),0),10))</f>
        <v>10</v>
      </c>
      <c r="X20" s="47">
        <f>VLOOKUP(B20,基础数!$1:$1048576,12,FALSE)</f>
        <v>1</v>
      </c>
      <c r="Y20" s="38">
        <f>IF(X20='测算稿 '!X$6,8,IF(X20&lt;1,MAX(MIN(IF(X20&gt;'测算稿 '!X$6,(X20-'测算稿 '!X$6)*100*0.4+8,(X20-'测算稿 '!X$6)*100*0.2+8),10),0),10))</f>
        <v>10</v>
      </c>
      <c r="Z20" s="52">
        <v>13</v>
      </c>
      <c r="AA20" s="38">
        <f>MIN(MAX(IF(Z20=0,10,IF(Z20&lt;'[1]测算稿 '!Z$6,8+('[1]测算稿 '!Z$6-Z20)*2,8+('[1]测算稿 '!Z$6-Z20)*0.4)),0),10)</f>
        <v>2.8</v>
      </c>
      <c r="AB20" s="47">
        <f>VLOOKUP(B20,基础数!$1:$1048576,13,FALSE)</f>
        <v>0.00513698630136983</v>
      </c>
      <c r="AC20" s="47">
        <f>VLOOKUP(B20,基础数!$1:$1048576,14,FALSE)</f>
        <v>0.43064369900272</v>
      </c>
      <c r="AD20" s="47">
        <f>VLOOKUP(B20,基础数!$1:$1048576,15,FALSE)</f>
        <v>0.00796178343949045</v>
      </c>
      <c r="AE20" s="38">
        <f>MIN(2,IF(AB20&lt;'测算稿 '!AB$6*1.1,0,(AB20/'测算稿 '!AB$6-1.1)*10*0.4))+MIN(2,IF(AC20&lt;'测算稿 '!AC$6*1.1,0,(AC20/'测算稿 '!AC$6-1.1)*10*0.4))+MIN(2,IF(AD20&lt;'测算稿 '!AD$6*1.1,0,(AD20/'测算稿 '!AD$6-1.1)*10*0.4))</f>
        <v>3.11882694737308</v>
      </c>
    </row>
    <row r="21" s="28" customFormat="1" ht="15" customHeight="1" spans="1:31">
      <c r="A21" s="39">
        <f t="shared" si="0"/>
        <v>16</v>
      </c>
      <c r="B21" s="40" t="s">
        <v>32</v>
      </c>
      <c r="C21" s="36">
        <f t="shared" si="1"/>
        <v>73.8017856895068</v>
      </c>
      <c r="D21" s="41">
        <f>VLOOKUP(B21,基础数!$1:$1048576,2,FALSE)</f>
        <v>6.23802681992337</v>
      </c>
      <c r="E21" s="38">
        <f>IF(D21="-",9.6,MAX(MIN(IF(D21&gt;'测算稿 '!D$6,('测算稿 '!D$6-D21)*0.6+9.6,('测算稿 '!D$6-D21)*0.6+9.6),12),0))</f>
        <v>10.7899180030281</v>
      </c>
      <c r="F21" s="41">
        <f>VLOOKUP(B21,基础数!$1:$1048576,3,FALSE)</f>
        <v>107.039215686275</v>
      </c>
      <c r="G21" s="38">
        <f>IF(F21="-",6.4,MAX(MIN(IF(F21&gt;'测算稿 '!F$6,('测算稿 '!F$6-F21)*0.1+6.4,('测算稿 '!F$6-F21)*0.1+6.4),8),0))</f>
        <v>6.3016993366733</v>
      </c>
      <c r="H21" s="41">
        <f>VLOOKUP(B21,基础数!$1:$1048576,4,FALSE)</f>
        <v>14.1076388888889</v>
      </c>
      <c r="I21" s="38">
        <f>IF(H21="-",9.6,MAX(MIN(IF(H21&gt;'测算稿 '!H$6,('测算稿 '!H$6-H21)*0.3+9.6,('测算稿 '!H$6-H21)*0.6+9.6),12),0))</f>
        <v>9.46788323045268</v>
      </c>
      <c r="J21" s="41">
        <f>VLOOKUP(B21,基础数!$1:$1048576,5,FALSE)</f>
        <v>90.2361111111111</v>
      </c>
      <c r="K21" s="38">
        <f>IF(J21="-",6.4,MAX(MIN(IF(J21&gt;'测算稿 '!J$6,('测算稿 '!J$6-J21)*0.1+6.4,('测算稿 '!J$6-J21)*0.2+6.4),8),0))</f>
        <v>4.73197668171073</v>
      </c>
      <c r="L21" s="41">
        <f>VLOOKUP(B21,基础数!$1:$1048576,6,FALSE)</f>
        <v>10.3232323232323</v>
      </c>
      <c r="M21" s="38">
        <f>IF(L21="-",4.8,MAX(MIN(IF(L21&gt;'测算稿 '!L$6,('测算稿 '!L$6-L21)*0.2+4.8,('测算稿 '!L$6-L21)*0.2+4.8),6),0))</f>
        <v>5.60528425946358</v>
      </c>
      <c r="N21" s="41">
        <f>VLOOKUP(B21,基础数!$1:$1048576,7,FALSE)</f>
        <v>74.0104166666667</v>
      </c>
      <c r="O21" s="38">
        <f>IF(N21="-",3.2,MAX(MIN(IF(N21&gt;'测算稿 '!N$6,('测算稿 '!N$6-N21)*0.05+3.2,('测算稿 '!N$6-N21)*0.05+3.2),4),0))</f>
        <v>4</v>
      </c>
      <c r="P21" s="41">
        <f>VLOOKUP(B21,基础数!$1:$1048576,8,FALSE)</f>
        <v>35.8660714285714</v>
      </c>
      <c r="Q21" s="38">
        <f>IF(P21="-",4.8,MAX(MIN(IF(P21&gt;'测算稿 '!P$6,('测算稿 '!P$6-P21)*0.2+4.8,('测算稿 '!P$6-P21)*0.2+4.8),6),0))</f>
        <v>3.5424832576709</v>
      </c>
      <c r="R21" s="41">
        <f>VLOOKUP(B21,基础数!$1:$1048576,9,FALSE)</f>
        <v>42.2083333333333</v>
      </c>
      <c r="S21" s="38">
        <f>IF(R21="-",3.2,MAX(MIN(IF(R21&gt;'测算稿 '!R$6,('测算稿 '!R$6-R21)*0.05+3.2,('测算稿 '!R$6-R21)*0.05+3.2),4),0))</f>
        <v>4</v>
      </c>
      <c r="T21" s="47">
        <f>VLOOKUP(B21,基础数!$1:$1048576,10,FALSE)</f>
        <v>0.852409638554217</v>
      </c>
      <c r="U21" s="38">
        <f>IF(T21="-",8,IF(T21&lt;1,MAX(MIN(IF(T21&gt;'测算稿 '!T$6,(T21-'测算稿 '!T$6)*100*0.5+8,(T21-'测算稿 '!T$6)*100*0.2+8),10),0),10))</f>
        <v>7.22907795389384</v>
      </c>
      <c r="V21" s="47">
        <f>VLOOKUP(B21,基础数!$1:$1048576,11,FALSE)</f>
        <v>0.72093023255814</v>
      </c>
      <c r="W21" s="38">
        <f>IF(V21="-",8,IF(V21&lt;1,MAX(MIN(IF(V21&gt;'测算稿 '!V$6,(V21-'测算稿 '!V$6)*100*0.5+8,(V21-'测算稿 '!V$6)*100*0.2+8),10),0),10))</f>
        <v>7.7241136401217</v>
      </c>
      <c r="X21" s="47">
        <f>VLOOKUP(B21,基础数!$1:$1048576,12,FALSE)</f>
        <v>0.964968152866242</v>
      </c>
      <c r="Y21" s="38">
        <f>IF(X21='测算稿 '!X$6,8,IF(X21&lt;1,MAX(MIN(IF(X21&gt;'测算稿 '!X$6,(X21-'测算稿 '!X$6)*100*0.4+8,(X21-'测算稿 '!X$6)*100*0.2+8),10),0),10))</f>
        <v>8.00934932649196</v>
      </c>
      <c r="Z21" s="52">
        <v>14</v>
      </c>
      <c r="AA21" s="38">
        <f>MIN(MAX(IF(Z21=0,10,IF(Z21&lt;'[1]测算稿 '!Z$6,8+('[1]测算稿 '!Z$6-Z21)*2,8+('[1]测算稿 '!Z$6-Z21)*0.4)),0),10)</f>
        <v>2.4</v>
      </c>
      <c r="AB21" s="47">
        <f>VLOOKUP(B21,基础数!$1:$1048576,13,FALSE)</f>
        <v>0.00215982721382291</v>
      </c>
      <c r="AC21" s="47">
        <f>VLOOKUP(B21,基础数!$1:$1048576,14,FALSE)</f>
        <v>0.216957605985037</v>
      </c>
      <c r="AD21" s="47">
        <f>VLOOKUP(B21,基础数!$1:$1048576,15,FALSE)</f>
        <v>0</v>
      </c>
      <c r="AE21" s="38">
        <f>MIN(2,IF(AB21&lt;'测算稿 '!AB$6*1.1,0,(AB21/'测算稿 '!AB$6-1.1)*10*0.4))+MIN(2,IF(AC21&lt;'测算稿 '!AC$6*1.1,0,(AC21/'测算稿 '!AC$6-1.1)*10*0.4))+MIN(2,IF(AD21&lt;'测算稿 '!AD$6*1.1,0,(AD21/'测算稿 '!AD$6-1.1)*10*0.4))</f>
        <v>0</v>
      </c>
    </row>
    <row r="22" s="28" customFormat="1" ht="15" customHeight="1" spans="1:31">
      <c r="A22" s="39">
        <f t="shared" si="0"/>
        <v>8</v>
      </c>
      <c r="B22" s="40" t="s">
        <v>129</v>
      </c>
      <c r="C22" s="36">
        <f t="shared" si="1"/>
        <v>79.2151473967102</v>
      </c>
      <c r="D22" s="41">
        <f>VLOOKUP(B22,基础数!$1:$1048576,2,FALSE)</f>
        <v>4.70294540229885</v>
      </c>
      <c r="E22" s="38">
        <f>IF(D22="-",9.6,MAX(MIN(IF(D22&gt;'测算稿 '!D$6,('测算稿 '!D$6-D22)*0.6+9.6,('测算稿 '!D$6-D22)*0.6+9.6),12),0))</f>
        <v>11.7109668536028</v>
      </c>
      <c r="F22" s="41">
        <f>VLOOKUP(B22,基础数!$1:$1048576,3,FALSE)</f>
        <v>126.056818181818</v>
      </c>
      <c r="G22" s="38">
        <f>IF(F22="-",6.4,MAX(MIN(IF(F22&gt;'测算稿 '!F$6,('测算稿 '!F$6-F22)*0.1+6.4,('测算稿 '!F$6-F22)*0.1+6.4),8),0))</f>
        <v>4.399939087119</v>
      </c>
      <c r="H22" s="41">
        <f>VLOOKUP(B22,基础数!$1:$1048576,4,FALSE)</f>
        <v>9.31666666666667</v>
      </c>
      <c r="I22" s="38">
        <f>IF(H22="-",9.6,MAX(MIN(IF(H22&gt;'测算稿 '!H$6,('测算稿 '!H$6-H22)*0.3+9.6,('测算稿 '!H$6-H22)*0.6+9.6),12),0))</f>
        <v>12</v>
      </c>
      <c r="J22" s="41">
        <f>VLOOKUP(B22,基础数!$1:$1048576,5,FALSE)</f>
        <v>54.1979166666667</v>
      </c>
      <c r="K22" s="38">
        <f>IF(J22="-",6.4,MAX(MIN(IF(J22&gt;'测算稿 '!J$6,('测算稿 '!J$6-J22)*0.1+6.4,('测算稿 '!J$6-J22)*0.2+6.4),8),0))</f>
        <v>8</v>
      </c>
      <c r="L22" s="41">
        <f>VLOOKUP(B22,基础数!$1:$1048576,6,FALSE)</f>
        <v>16</v>
      </c>
      <c r="M22" s="38">
        <f>IF(L22="-",4.8,MAX(MIN(IF(L22&gt;'测算稿 '!L$6,('测算稿 '!L$6-L22)*0.2+4.8,('测算稿 '!L$6-L22)*0.2+4.8),6),0))</f>
        <v>4.46993072411004</v>
      </c>
      <c r="N22" s="41">
        <f>VLOOKUP(B22,基础数!$1:$1048576,7,FALSE)</f>
        <v>147.471479885057</v>
      </c>
      <c r="O22" s="38">
        <f>IF(N22="-",3.2,MAX(MIN(IF(N22&gt;'测算稿 '!N$6,('测算稿 '!N$6-N22)*0.05+3.2,('测算稿 '!N$6-N22)*0.05+3.2),4),0))</f>
        <v>3.2</v>
      </c>
      <c r="P22" s="41">
        <f>VLOOKUP(B22,基础数!$1:$1048576,8,FALSE)</f>
        <v>29.5784877169259</v>
      </c>
      <c r="Q22" s="38">
        <f>IF(P22="-",4.8,MAX(MIN(IF(P22&gt;'测算稿 '!P$6,('测算稿 '!P$6-P22)*0.2+4.8,('测算稿 '!P$6-P22)*0.2+4.8),6),0))</f>
        <v>4.8</v>
      </c>
      <c r="R22" s="41">
        <f>VLOOKUP(B22,基础数!$1:$1048576,9,FALSE)</f>
        <v>132.130401234568</v>
      </c>
      <c r="S22" s="38">
        <f>IF(R22="-",3.2,MAX(MIN(IF(R22&gt;'测算稿 '!R$6,('测算稿 '!R$6-R22)*0.05+3.2,('测算稿 '!R$6-R22)*0.05+3.2),4),0))</f>
        <v>3.2</v>
      </c>
      <c r="T22" s="47">
        <f>VLOOKUP(B22,基础数!$1:$1048576,10,FALSE)</f>
        <v>0.958620689655173</v>
      </c>
      <c r="U22" s="38">
        <f>IF(T22="-",8,IF(T22&lt;1,MAX(MIN(IF(T22&gt;'测算稿 '!T$6,(T22-'测算稿 '!T$6)*100*0.5+8,(T22-'测算稿 '!T$6)*100*0.2+8),10),0),10))</f>
        <v>10</v>
      </c>
      <c r="V22" s="47">
        <f>VLOOKUP(B22,基础数!$1:$1048576,11,FALSE)</f>
        <v>0.666666666666667</v>
      </c>
      <c r="W22" s="38">
        <f>IF(V22="-",8,IF(V22&lt;1,MAX(MIN(IF(V22&gt;'测算稿 '!V$6,(V22-'测算稿 '!V$6)*100*0.5+8,(V22-'测算稿 '!V$6)*100*0.2+8),10),0),10))</f>
        <v>6.63884232229224</v>
      </c>
      <c r="X22" s="47">
        <f>VLOOKUP(B22,基础数!$1:$1048576,12,FALSE)</f>
        <v>1</v>
      </c>
      <c r="Y22" s="38">
        <f>IF(X22='测算稿 '!X$6,8,IF(X22&lt;1,MAX(MIN(IF(X22&gt;'测算稿 '!X$6,(X22-'测算稿 '!X$6)*100*0.4+8,(X22-'测算稿 '!X$6)*100*0.2+8),10),0),10))</f>
        <v>10</v>
      </c>
      <c r="Z22" s="52">
        <v>15</v>
      </c>
      <c r="AA22" s="38">
        <f>MIN(MAX(IF(Z22=0,10,IF(Z22&lt;'[1]测算稿 '!Z$6,8+('[1]测算稿 '!Z$6-Z22)*2,8+('[1]测算稿 '!Z$6-Z22)*0.4)),0),10)</f>
        <v>2</v>
      </c>
      <c r="AB22" s="47">
        <f>VLOOKUP(B22,基础数!$1:$1048576,13,FALSE)</f>
        <v>0</v>
      </c>
      <c r="AC22" s="47">
        <f>VLOOKUP(B22,基础数!$1:$1048576,14,FALSE)</f>
        <v>0.285046728971963</v>
      </c>
      <c r="AD22" s="47">
        <f>VLOOKUP(B22,基础数!$1:$1048576,15,FALSE)</f>
        <v>0.0065359477124183</v>
      </c>
      <c r="AE22" s="38">
        <f>MIN(2,IF(AB22&lt;'测算稿 '!AB$6*1.1,0,(AB22/'测算稿 '!AB$6-1.1)*10*0.4))+MIN(2,IF(AC22&lt;'测算稿 '!AC$6*1.1,0,(AC22/'测算稿 '!AC$6-1.1)*10*0.4))+MIN(2,IF(AD22&lt;'测算稿 '!AD$6*1.1,0,(AD22/'测算稿 '!AD$6-1.1)*10*0.4))</f>
        <v>1.20453159041394</v>
      </c>
    </row>
    <row r="23" s="28" customFormat="1" ht="15" customHeight="1" spans="1:31">
      <c r="A23" s="39">
        <f t="shared" si="0"/>
        <v>14</v>
      </c>
      <c r="B23" s="40" t="s">
        <v>130</v>
      </c>
      <c r="C23" s="36">
        <f t="shared" si="1"/>
        <v>76.0905919278324</v>
      </c>
      <c r="D23" s="41">
        <f>VLOOKUP(B23,基础数!$1:$1048576,2,FALSE)</f>
        <v>5.64951420029895</v>
      </c>
      <c r="E23" s="38">
        <f>IF(D23="-",9.6,MAX(MIN(IF(D23&gt;'测算稿 '!D$6,('测算稿 '!D$6-D23)*0.6+9.6,('测算稿 '!D$6-D23)*0.6+9.6),12),0))</f>
        <v>11.1430255748027</v>
      </c>
      <c r="F23" s="41">
        <f>VLOOKUP(B23,基础数!$1:$1048576,3,FALSE)</f>
        <v>91.694055944056</v>
      </c>
      <c r="G23" s="38">
        <f>IF(F23="-",6.4,MAX(MIN(IF(F23&gt;'测算稿 '!F$6,('测算稿 '!F$6-F23)*0.1+6.4,('测算稿 '!F$6-F23)*0.1+6.4),8),0))</f>
        <v>7.8362153108952</v>
      </c>
      <c r="H23" s="41">
        <f>VLOOKUP(B23,基础数!$1:$1048576,4,FALSE)</f>
        <v>10.2956815511163</v>
      </c>
      <c r="I23" s="38">
        <f>IF(H23="-",9.6,MAX(MIN(IF(H23&gt;'测算稿 '!H$6,('测算稿 '!H$6-H23)*0.3+9.6,('测算稿 '!H$6-H23)*0.6+9.6),12),0))</f>
        <v>11.6229408635689</v>
      </c>
      <c r="J23" s="41">
        <f>VLOOKUP(B23,基础数!$1:$1048576,5,FALSE)</f>
        <v>90.2869444444445</v>
      </c>
      <c r="K23" s="38">
        <f>IF(J23="-",6.4,MAX(MIN(IF(J23&gt;'测算稿 '!J$6,('测算稿 '!J$6-J23)*0.1+6.4,('测算稿 '!J$6-J23)*0.2+6.4),8),0))</f>
        <v>4.72689334837739</v>
      </c>
      <c r="L23" s="41">
        <f>VLOOKUP(B23,基础数!$1:$1048576,6,FALSE)</f>
        <v>14.4915021929825</v>
      </c>
      <c r="M23" s="38">
        <f>IF(L23="-",4.8,MAX(MIN(IF(L23&gt;'测算稿 '!L$6,('测算稿 '!L$6-L23)*0.2+4.8,('测算稿 '!L$6-L23)*0.2+4.8),6),0))</f>
        <v>4.77163028551354</v>
      </c>
      <c r="N23" s="41">
        <f>VLOOKUP(B23,基础数!$1:$1048576,7,FALSE)</f>
        <v>127.315972222222</v>
      </c>
      <c r="O23" s="38">
        <f>IF(N23="-",3.2,MAX(MIN(IF(N23&gt;'测算稿 '!N$6,('测算稿 '!N$6-N23)*0.05+3.2,('测算稿 '!N$6-N23)*0.05+3.2),4),0))</f>
        <v>4</v>
      </c>
      <c r="P23" s="41">
        <f>VLOOKUP(B23,基础数!$1:$1048576,8,FALSE)</f>
        <v>27.9923469387755</v>
      </c>
      <c r="Q23" s="38">
        <f>IF(P23="-",4.8,MAX(MIN(IF(P23&gt;'测算稿 '!P$6,('测算稿 '!P$6-P23)*0.2+4.8,('测算稿 '!P$6-P23)*0.2+4.8),6),0))</f>
        <v>5.11722815563008</v>
      </c>
      <c r="R23" s="41">
        <f>VLOOKUP(B23,基础数!$1:$1048576,9,FALSE)</f>
        <v>127.799731182796</v>
      </c>
      <c r="S23" s="38">
        <f>IF(R23="-",3.2,MAX(MIN(IF(R23&gt;'测算稿 '!R$6,('测算稿 '!R$6-R23)*0.05+3.2,('测算稿 '!R$6-R23)*0.05+3.2),4),0))</f>
        <v>3.4165335025886</v>
      </c>
      <c r="T23" s="47">
        <f>VLOOKUP(B23,基础数!$1:$1048576,10,FALSE)</f>
        <v>0.88135593220339</v>
      </c>
      <c r="U23" s="38">
        <f>IF(T23="-",8,IF(T23&lt;1,MAX(MIN(IF(T23&gt;'测算稿 '!T$6,(T23-'测算稿 '!T$6)*100*0.5+8,(T23-'测算稿 '!T$6)*100*0.2+8),10),0),10))</f>
        <v>7.8080038268773</v>
      </c>
      <c r="V23" s="47">
        <f>VLOOKUP(B23,基础数!$1:$1048576,11,FALSE)</f>
        <v>0.720987654320988</v>
      </c>
      <c r="W23" s="38">
        <f>IF(V23="-",8,IF(V23&lt;1,MAX(MIN(IF(V23&gt;'测算稿 '!V$6,(V23-'测算稿 '!V$6)*100*0.5+8,(V23-'测算稿 '!V$6)*100*0.2+8),10),0),10))</f>
        <v>7.72526207537866</v>
      </c>
      <c r="X23" s="47">
        <f>VLOOKUP(B23,基础数!$1:$1048576,12,FALSE)</f>
        <v>0.993521341463415</v>
      </c>
      <c r="Y23" s="38">
        <f>IF(X23='测算稿 '!X$6,8,IF(X23&lt;1,MAX(MIN(IF(X23&gt;'测算稿 '!X$6,(X23-'测算稿 '!X$6)*100*0.4+8,(X23-'测算稿 '!X$6)*100*0.2+8),10),0),10))</f>
        <v>9.15147687037888</v>
      </c>
      <c r="Z23" s="52">
        <v>16</v>
      </c>
      <c r="AA23" s="38">
        <f>MIN(MAX(IF(Z23=0,10,IF(Z23&lt;'[1]测算稿 '!Z$6,8+('[1]测算稿 '!Z$6-Z23)*2,8+('[1]测算稿 '!Z$6-Z23)*0.4)),0),10)</f>
        <v>1.6</v>
      </c>
      <c r="AB23" s="47">
        <f>VLOOKUP(B23,基础数!$1:$1048576,13,FALSE)</f>
        <v>0.0482105263157895</v>
      </c>
      <c r="AC23" s="47">
        <f>VLOOKUP(B23,基础数!$1:$1048576,14,FALSE)</f>
        <v>0.322489026594371</v>
      </c>
      <c r="AD23" s="47">
        <f>VLOOKUP(B23,基础数!$1:$1048576,15,FALSE)</f>
        <v>0.00609756097560976</v>
      </c>
      <c r="AE23" s="38">
        <f>MIN(2,IF(AB23&lt;'测算稿 '!AB$6*1.1,0,(AB23/'测算稿 '!AB$6-1.1)*10*0.4))+MIN(2,IF(AC23&lt;'测算稿 '!AC$6*1.1,0,(AC23/'测算稿 '!AC$6-1.1)*10*0.4))+MIN(2,IF(AD23&lt;'测算稿 '!AD$6*1.1,0,(AD23/'测算稿 '!AD$6-1.1)*10*0.4))</f>
        <v>2.82861788617887</v>
      </c>
    </row>
    <row r="24" s="28" customFormat="1" ht="15" customHeight="1" spans="1:31">
      <c r="A24" s="39">
        <f t="shared" si="0"/>
        <v>12</v>
      </c>
      <c r="B24" s="40" t="s">
        <v>28</v>
      </c>
      <c r="C24" s="36">
        <f t="shared" si="1"/>
        <v>76.4908081994832</v>
      </c>
      <c r="D24" s="41">
        <f>VLOOKUP(B24,基础数!$1:$1048576,2,FALSE)</f>
        <v>10.8342803030303</v>
      </c>
      <c r="E24" s="38">
        <f>IF(D24="-",9.6,MAX(MIN(IF(D24&gt;'测算稿 '!D$6,('测算稿 '!D$6-D24)*0.6+9.6,('测算稿 '!D$6-D24)*0.6+9.6),12),0))</f>
        <v>8.0321659131639</v>
      </c>
      <c r="F24" s="41">
        <f>VLOOKUP(B24,基础数!$1:$1048576,3,FALSE)</f>
        <v>58.1217948717949</v>
      </c>
      <c r="G24" s="38">
        <f>IF(F24="-",6.4,MAX(MIN(IF(F24&gt;'测算稿 '!F$6,('测算稿 '!F$6-F24)*0.1+6.4,('测算稿 '!F$6-F24)*0.1+6.4),8),0))</f>
        <v>8</v>
      </c>
      <c r="H24" s="41">
        <f>VLOOKUP(B24,基础数!$1:$1048576,4,FALSE)</f>
        <v>10.4767441860465</v>
      </c>
      <c r="I24" s="38">
        <f>IF(H24="-",9.6,MAX(MIN(IF(H24&gt;'测算稿 '!H$6,('测算稿 '!H$6-H24)*0.3+9.6,('测算稿 '!H$6-H24)*0.6+9.6),12),0))</f>
        <v>11.5143032826108</v>
      </c>
      <c r="J24" s="41">
        <f>VLOOKUP(B24,基础数!$1:$1048576,5,FALSE)</f>
        <v>27.1510416666667</v>
      </c>
      <c r="K24" s="38">
        <f>IF(J24="-",6.4,MAX(MIN(IF(J24&gt;'测算稿 '!J$6,('测算稿 '!J$6-J24)*0.1+6.4,('测算稿 '!J$6-J24)*0.2+6.4),8),0))</f>
        <v>8</v>
      </c>
      <c r="L24" s="41">
        <f>VLOOKUP(B24,基础数!$1:$1048576,6,FALSE)</f>
        <v>9.02083333333333</v>
      </c>
      <c r="M24" s="38">
        <f>IF(L24="-",4.8,MAX(MIN(IF(L24&gt;'测算稿 '!L$6,('测算稿 '!L$6-L24)*0.2+4.8,('测算稿 '!L$6-L24)*0.2+4.8),6),0))</f>
        <v>5.86576405744337</v>
      </c>
      <c r="N24" s="41">
        <f>VLOOKUP(B24,基础数!$1:$1048576,7,FALSE)</f>
        <v>147.471479885057</v>
      </c>
      <c r="O24" s="38">
        <f>IF(N24="-",3.2,MAX(MIN(IF(N24&gt;'测算稿 '!N$6,('测算稿 '!N$6-N24)*0.05+3.2,('测算稿 '!N$6-N24)*0.05+3.2),4),0))</f>
        <v>3.2</v>
      </c>
      <c r="P24" s="41">
        <f>VLOOKUP(B24,基础数!$1:$1048576,8,FALSE)</f>
        <v>23.6875</v>
      </c>
      <c r="Q24" s="38">
        <f>IF(P24="-",4.8,MAX(MIN(IF(P24&gt;'测算稿 '!P$6,('测算稿 '!P$6-P24)*0.2+4.8,('测算稿 '!P$6-P24)*0.2+4.8),6),0))</f>
        <v>5.97819754338518</v>
      </c>
      <c r="R24" s="41">
        <f>VLOOKUP(B24,基础数!$1:$1048576,9,FALSE)</f>
        <v>132.130401234568</v>
      </c>
      <c r="S24" s="38">
        <f>IF(R24="-",3.2,MAX(MIN(IF(R24&gt;'测算稿 '!R$6,('测算稿 '!R$6-R24)*0.05+3.2,('测算稿 '!R$6-R24)*0.05+3.2),4),0))</f>
        <v>3.2</v>
      </c>
      <c r="T24" s="47">
        <f>VLOOKUP(B24,基础数!$1:$1048576,10,FALSE)</f>
        <v>0.853658536585366</v>
      </c>
      <c r="U24" s="38">
        <f>IF(T24="-",8,IF(T24&lt;1,MAX(MIN(IF(T24&gt;'测算稿 '!T$6,(T24-'测算稿 '!T$6)*100*0.5+8,(T24-'测算稿 '!T$6)*100*0.2+8),10),0),10))</f>
        <v>7.25405591451682</v>
      </c>
      <c r="V24" s="47">
        <f>VLOOKUP(B24,基础数!$1:$1048576,11,FALSE)</f>
        <v>0.688311688311688</v>
      </c>
      <c r="W24" s="38">
        <f>IF(V24="-",8,IF(V24&lt;1,MAX(MIN(IF(V24&gt;'测算稿 '!V$6,(V24-'测算稿 '!V$6)*100*0.5+8,(V24-'测算稿 '!V$6)*100*0.2+8),10),0),10))</f>
        <v>7.07174275519266</v>
      </c>
      <c r="X24" s="47">
        <f>VLOOKUP(B24,基础数!$1:$1048576,12,FALSE)</f>
        <v>1</v>
      </c>
      <c r="Y24" s="38">
        <f>IF(X24='测算稿 '!X$6,8,IF(X24&lt;1,MAX(MIN(IF(X24&gt;'测算稿 '!X$6,(X24-'测算稿 '!X$6)*100*0.4+8,(X24-'测算稿 '!X$6)*100*0.2+8),10),0),10))</f>
        <v>10</v>
      </c>
      <c r="Z24" s="52">
        <v>17</v>
      </c>
      <c r="AA24" s="38">
        <f>MIN(MAX(IF(Z24=0,10,IF(Z24&lt;'[1]测算稿 '!Z$6,8+('[1]测算稿 '!Z$6-Z24)*2,8+('[1]测算稿 '!Z$6-Z24)*0.4)),0),10)</f>
        <v>1.2</v>
      </c>
      <c r="AB24" s="47">
        <f>VLOOKUP(B24,基础数!$1:$1048576,13,FALSE)</f>
        <v>0</v>
      </c>
      <c r="AC24" s="47">
        <f>VLOOKUP(B24,基础数!$1:$1048576,14,FALSE)</f>
        <v>0.483660130718954</v>
      </c>
      <c r="AD24" s="47">
        <f>VLOOKUP(B24,基础数!$1:$1048576,15,FALSE)</f>
        <v>0.00632911392405063</v>
      </c>
      <c r="AE24" s="38">
        <f>MIN(2,IF(AB24&lt;'测算稿 '!AB$6*1.1,0,(AB24/'测算稿 '!AB$6-1.1)*10*0.4))+MIN(2,IF(AC24&lt;'测算稿 '!AC$6*1.1,0,(AC24/'测算稿 '!AC$6-1.1)*10*0.4))+MIN(2,IF(AD24&lt;'测算稿 '!AD$6*1.1,0,(AD24/'测算稿 '!AD$6-1.1)*10*0.4))</f>
        <v>2.82542126682957</v>
      </c>
    </row>
    <row r="25" s="28" customFormat="1" ht="15" customHeight="1" spans="1:31">
      <c r="A25" s="39">
        <f t="shared" si="0"/>
        <v>31</v>
      </c>
      <c r="B25" s="40" t="s">
        <v>131</v>
      </c>
      <c r="C25" s="36">
        <f t="shared" si="1"/>
        <v>59.8599147800181</v>
      </c>
      <c r="D25" s="41">
        <f>VLOOKUP(B25,基础数!$1:$1048576,2,FALSE)</f>
        <v>12.8217852684145</v>
      </c>
      <c r="E25" s="38">
        <f>IF(D25="-",9.6,MAX(MIN(IF(D25&gt;'测算稿 '!D$6,('测算稿 '!D$6-D25)*0.6+9.6,('测算稿 '!D$6-D25)*0.6+9.6),12),0))</f>
        <v>6.83966293393338</v>
      </c>
      <c r="F25" s="41">
        <f>VLOOKUP(B25,基础数!$1:$1048576,3,FALSE)</f>
        <v>132.452109266943</v>
      </c>
      <c r="G25" s="38">
        <f>IF(F25="-",6.4,MAX(MIN(IF(F25&gt;'测算稿 '!F$6,('测算稿 '!F$6-F25)*0.1+6.4,('测算稿 '!F$6-F25)*0.1+6.4),8),0))</f>
        <v>3.7604099786065</v>
      </c>
      <c r="H25" s="41">
        <f>VLOOKUP(B25,基础数!$1:$1048576,4,FALSE)</f>
        <v>15.8466478696742</v>
      </c>
      <c r="I25" s="38">
        <f>IF(H25="-",9.6,MAX(MIN(IF(H25&gt;'测算稿 '!H$6,('测算稿 '!H$6-H25)*0.3+9.6,('测算稿 '!H$6-H25)*0.6+9.6),12),0))</f>
        <v>8.94618053621709</v>
      </c>
      <c r="J25" s="41">
        <f>VLOOKUP(B25,基础数!$1:$1048576,5,FALSE)</f>
        <v>81.36375</v>
      </c>
      <c r="K25" s="38">
        <f>IF(J25="-",6.4,MAX(MIN(IF(J25&gt;'测算稿 '!J$6,('测算稿 '!J$6-J25)*0.1+6.4,('测算稿 '!J$6-J25)*0.2+6.4),8),0))</f>
        <v>5.61921279282184</v>
      </c>
      <c r="L25" s="41">
        <f>VLOOKUP(B25,基础数!$1:$1048576,6,FALSE)</f>
        <v>19.5409007352941</v>
      </c>
      <c r="M25" s="38">
        <f>IF(L25="-",4.8,MAX(MIN(IF(L25&gt;'测算稿 '!L$6,('测算稿 '!L$6-L25)*0.2+4.8,('测算稿 '!L$6-L25)*0.2+4.8),6),0))</f>
        <v>3.76175057705122</v>
      </c>
      <c r="N25" s="41">
        <f>VLOOKUP(B25,基础数!$1:$1048576,7,FALSE)</f>
        <v>156.689814814815</v>
      </c>
      <c r="O25" s="38">
        <f>IF(N25="-",3.2,MAX(MIN(IF(N25&gt;'测算稿 '!N$6,('测算稿 '!N$6-N25)*0.05+3.2,('测算稿 '!N$6-N25)*0.05+3.2),4),0))</f>
        <v>2.7390832535121</v>
      </c>
      <c r="P25" s="41">
        <f>VLOOKUP(B25,基础数!$1:$1048576,8,FALSE)</f>
        <v>38.5405555555556</v>
      </c>
      <c r="Q25" s="38">
        <f>IF(P25="-",4.8,MAX(MIN(IF(P25&gt;'测算稿 '!P$6,('测算稿 '!P$6-P25)*0.2+4.8,('测算稿 '!P$6-P25)*0.2+4.8),6),0))</f>
        <v>3.00758643227406</v>
      </c>
      <c r="R25" s="41">
        <f>VLOOKUP(B25,基础数!$1:$1048576,9,FALSE)</f>
        <v>139.508771929825</v>
      </c>
      <c r="S25" s="38">
        <f>IF(R25="-",3.2,MAX(MIN(IF(R25&gt;'测算稿 '!R$6,('测算稿 '!R$6-R25)*0.05+3.2,('测算稿 '!R$6-R25)*0.05+3.2),4),0))</f>
        <v>2.83108146523715</v>
      </c>
      <c r="T25" s="47">
        <f>VLOOKUP(B25,基础数!$1:$1048576,10,FALSE)</f>
        <v>0.811804008908686</v>
      </c>
      <c r="U25" s="38">
        <f>IF(T25="-",8,IF(T25&lt;1,MAX(MIN(IF(T25&gt;'测算稿 '!T$6,(T25-'测算稿 '!T$6)*100*0.5+8,(T25-'测算稿 '!T$6)*100*0.2+8),10),0),10))</f>
        <v>6.41696536098322</v>
      </c>
      <c r="V25" s="47">
        <f>VLOOKUP(B25,基础数!$1:$1048576,11,FALSE)</f>
        <v>0.699602324869991</v>
      </c>
      <c r="W25" s="38">
        <f>IF(V25="-",8,IF(V25&lt;1,MAX(MIN(IF(V25&gt;'测算稿 '!V$6,(V25-'测算稿 '!V$6)*100*0.5+8,(V25-'测算稿 '!V$6)*100*0.2+8),10),0),10))</f>
        <v>7.29755548635872</v>
      </c>
      <c r="X25" s="47">
        <f>VLOOKUP(B25,基础数!$1:$1048576,12,FALSE)</f>
        <v>0.956755717855084</v>
      </c>
      <c r="Y25" s="38">
        <f>IF(X25='测算稿 '!X$6,8,IF(X25&lt;1,MAX(MIN(IF(X25&gt;'测算稿 '!X$6,(X25-'测算稿 '!X$6)*100*0.4+8,(X25-'测算稿 '!X$6)*100*0.2+8),10),0),10))</f>
        <v>7.84042596302282</v>
      </c>
      <c r="Z25" s="52">
        <v>18</v>
      </c>
      <c r="AA25" s="38">
        <f>MIN(MAX(IF(Z25=0,10,IF(Z25&lt;'[1]测算稿 '!Z$6,8+('[1]测算稿 '!Z$6-Z25)*2,8+('[1]测算稿 '!Z$6-Z25)*0.4)),0),10)</f>
        <v>0.8</v>
      </c>
      <c r="AB25" s="47">
        <f>VLOOKUP(B25,基础数!$1:$1048576,13,FALSE)</f>
        <v>0.00260063319764814</v>
      </c>
      <c r="AC25" s="47">
        <f>VLOOKUP(B25,基础数!$1:$1048576,14,FALSE)</f>
        <v>0.273628368002234</v>
      </c>
      <c r="AD25" s="47">
        <f>VLOOKUP(B25,基础数!$1:$1048576,15,FALSE)</f>
        <v>0.00307514895252739</v>
      </c>
      <c r="AE25" s="38">
        <f>MIN(2,IF(AB25&lt;'测算稿 '!AB$6*1.1,0,(AB25/'测算稿 '!AB$6-1.1)*10*0.4))+MIN(2,IF(AC25&lt;'测算稿 '!AC$6*1.1,0,(AC25/'测算稿 '!AC$6-1.1)*10*0.4))+MIN(2,IF(AD25&lt;'测算稿 '!AD$6*1.1,0,(AD25/'测算稿 '!AD$6-1.1)*10*0.4))</f>
        <v>0</v>
      </c>
    </row>
    <row r="26" s="28" customFormat="1" ht="15" customHeight="1" spans="1:31">
      <c r="A26" s="39">
        <f t="shared" si="0"/>
        <v>9</v>
      </c>
      <c r="B26" s="40" t="s">
        <v>22</v>
      </c>
      <c r="C26" s="36">
        <f t="shared" si="1"/>
        <v>78.6086170001033</v>
      </c>
      <c r="D26" s="41">
        <f>VLOOKUP(B26,基础数!$1:$1048576,2,FALSE)</f>
        <v>6.44467101685699</v>
      </c>
      <c r="E26" s="38">
        <f>IF(D26="-",9.6,MAX(MIN(IF(D26&gt;'测算稿 '!D$6,('测算稿 '!D$6-D26)*0.6+9.6,('测算稿 '!D$6-D26)*0.6+9.6),12),0))</f>
        <v>10.6659314848679</v>
      </c>
      <c r="F26" s="41">
        <f>VLOOKUP(B26,基础数!$1:$1048576,3,FALSE)</f>
        <v>121.661458333333</v>
      </c>
      <c r="G26" s="38">
        <f>IF(F26="-",6.4,MAX(MIN(IF(F26&gt;'测算稿 '!F$6,('测算稿 '!F$6-F26)*0.1+6.4,('测算稿 '!F$6-F26)*0.1+6.4),8),0))</f>
        <v>4.8394750719675</v>
      </c>
      <c r="H26" s="41">
        <f>VLOOKUP(B26,基础数!$1:$1048576,4,FALSE)</f>
        <v>17.2911474558671</v>
      </c>
      <c r="I26" s="38">
        <f>IF(H26="-",9.6,MAX(MIN(IF(H26&gt;'测算稿 '!H$6,('测算稿 '!H$6-H26)*0.3+9.6,('测算稿 '!H$6-H26)*0.6+9.6),12),0))</f>
        <v>8.51283066035922</v>
      </c>
      <c r="J26" s="41">
        <f>VLOOKUP(B26,基础数!$1:$1048576,5,FALSE)</f>
        <v>67.0267857142857</v>
      </c>
      <c r="K26" s="38">
        <f>IF(J26="-",6.4,MAX(MIN(IF(J26&gt;'测算稿 '!J$6,('测算稿 '!J$6-J26)*0.1+6.4,('测算稿 '!J$6-J26)*0.2+6.4),8),0))</f>
        <v>7.70581844278654</v>
      </c>
      <c r="L26" s="41">
        <f>VLOOKUP(B26,基础数!$1:$1048576,6,FALSE)</f>
        <v>6.52119252873563</v>
      </c>
      <c r="M26" s="38">
        <f>IF(L26="-",4.8,MAX(MIN(IF(L26&gt;'测算稿 '!L$6,('测算稿 '!L$6-L26)*0.2+4.8,('测算稿 '!L$6-L26)*0.2+4.8),6),0))</f>
        <v>6</v>
      </c>
      <c r="N26" s="41">
        <f>VLOOKUP(B26,基础数!$1:$1048576,7,FALSE)</f>
        <v>137.191666666667</v>
      </c>
      <c r="O26" s="38">
        <f>IF(N26="-",3.2,MAX(MIN(IF(N26&gt;'测算稿 '!N$6,('测算稿 '!N$6-N26)*0.05+3.2,('测算稿 '!N$6-N26)*0.05+3.2),4),0))</f>
        <v>3.7139906609195</v>
      </c>
      <c r="P26" s="41">
        <f>VLOOKUP(B26,基础数!$1:$1048576,8,FALSE)</f>
        <v>9.43813131313131</v>
      </c>
      <c r="Q26" s="38">
        <f>IF(P26="-",4.8,MAX(MIN(IF(P26&gt;'测算稿 '!P$6,('测算稿 '!P$6-P26)*0.2+4.8,('测算稿 '!P$6-P26)*0.2+4.8),6),0))</f>
        <v>6</v>
      </c>
      <c r="R26" s="41">
        <f>VLOOKUP(B26,基础数!$1:$1048576,9,FALSE)</f>
        <v>120.679166666667</v>
      </c>
      <c r="S26" s="38">
        <f>IF(R26="-",3.2,MAX(MIN(IF(R26&gt;'测算稿 '!R$6,('测算稿 '!R$6-R26)*0.05+3.2,('测算稿 '!R$6-R26)*0.05+3.2),4),0))</f>
        <v>3.77256172839505</v>
      </c>
      <c r="T26" s="47">
        <f>VLOOKUP(B26,基础数!$1:$1048576,10,FALSE)</f>
        <v>0.974940334128878</v>
      </c>
      <c r="U26" s="38">
        <f>IF(T26="-",8,IF(T26&lt;1,MAX(MIN(IF(T26&gt;'测算稿 '!T$6,(T26-'测算稿 '!T$6)*100*0.5+8,(T26-'测算稿 '!T$6)*100*0.2+8),10),0),10))</f>
        <v>10</v>
      </c>
      <c r="V26" s="47">
        <f>VLOOKUP(B26,基础数!$1:$1048576,11,FALSE)</f>
        <v>0.893569844789357</v>
      </c>
      <c r="W26" s="38">
        <f>IF(V26="-",8,IF(V26&lt;1,MAX(MIN(IF(V26&gt;'测算稿 '!V$6,(V26-'测算稿 '!V$6)*100*0.5+8,(V26-'测算稿 '!V$6)*100*0.2+8),10),0),10))</f>
        <v>10</v>
      </c>
      <c r="X26" s="47">
        <f>VLOOKUP(B26,基础数!$1:$1048576,12,FALSE)</f>
        <v>1.00819672131148</v>
      </c>
      <c r="Y26" s="38">
        <f>IF(X26='测算稿 '!X$6,8,IF(X26&lt;1,MAX(MIN(IF(X26&gt;'测算稿 '!X$6,(X26-'测算稿 '!X$6)*100*0.4+8,(X26-'测算稿 '!X$6)*100*0.2+8),10),0),10))</f>
        <v>10</v>
      </c>
      <c r="Z26" s="52">
        <v>19</v>
      </c>
      <c r="AA26" s="38">
        <f>MIN(MAX(IF(Z26=0,10,IF(Z26&lt;'[1]测算稿 '!Z$6,8+('[1]测算稿 '!Z$6-Z26)*2,8+('[1]测算稿 '!Z$6-Z26)*0.4)),0),10)</f>
        <v>0.399999999999999</v>
      </c>
      <c r="AB26" s="47">
        <f>VLOOKUP(B26,基础数!$1:$1048576,13,FALSE)</f>
        <v>0</v>
      </c>
      <c r="AC26" s="47">
        <f>VLOOKUP(B26,基础数!$1:$1048576,14,FALSE)</f>
        <v>0.421526789947843</v>
      </c>
      <c r="AD26" s="47">
        <f>VLOOKUP(B26,基础数!$1:$1048576,15,FALSE)</f>
        <v>0.0155737704918033</v>
      </c>
      <c r="AE26" s="38">
        <f>MIN(2,IF(AB26&lt;'测算稿 '!AB$6*1.1,0,(AB26/'测算稿 '!AB$6-1.1)*10*0.4))+MIN(2,IF(AC26&lt;'测算稿 '!AC$6*1.1,0,(AC26/'测算稿 '!AC$6-1.1)*10*0.4))+MIN(2,IF(AD26&lt;'测算稿 '!AD$6*1.1,0,(AD26/'测算稿 '!AD$6-1.1)*10*0.4))</f>
        <v>3.00199104919246</v>
      </c>
    </row>
    <row r="27" s="28" customFormat="1" ht="15" customHeight="1" spans="1:31">
      <c r="A27" s="39">
        <f t="shared" si="0"/>
        <v>30</v>
      </c>
      <c r="B27" s="40" t="s">
        <v>132</v>
      </c>
      <c r="C27" s="36">
        <f t="shared" si="1"/>
        <v>60.8098482877368</v>
      </c>
      <c r="D27" s="41">
        <f>VLOOKUP(B27,基础数!$1:$1048576,2,FALSE)</f>
        <v>7.75850938967136</v>
      </c>
      <c r="E27" s="38">
        <f>IF(D27="-",9.6,MAX(MIN(IF(D27&gt;'测算稿 '!D$6,('测算稿 '!D$6-D27)*0.6+9.6,('测算稿 '!D$6-D27)*0.6+9.6),12),0))</f>
        <v>9.87762846117926</v>
      </c>
      <c r="F27" s="41">
        <f>VLOOKUP(B27,基础数!$1:$1048576,3,FALSE)</f>
        <v>105.329545454545</v>
      </c>
      <c r="G27" s="38">
        <f>IF(F27="-",6.4,MAX(MIN(IF(F27&gt;'测算稿 '!F$6,('测算稿 '!F$6-F27)*0.1+6.4,('测算稿 '!F$6-F27)*0.1+6.4),8),0))</f>
        <v>6.4726663598463</v>
      </c>
      <c r="H27" s="41">
        <f>VLOOKUP(B27,基础数!$1:$1048576,4,FALSE)</f>
        <v>20.7692786069652</v>
      </c>
      <c r="I27" s="38">
        <f>IF(H27="-",9.6,MAX(MIN(IF(H27&gt;'测算稿 '!H$6,('测算稿 '!H$6-H27)*0.3+9.6,('测算稿 '!H$6-H27)*0.6+9.6),12),0))</f>
        <v>7.46939131502979</v>
      </c>
      <c r="J27" s="41">
        <f>VLOOKUP(B27,基础数!$1:$1048576,5,FALSE)</f>
        <v>188.6125</v>
      </c>
      <c r="K27" s="38">
        <f>IF(J27="-",6.4,MAX(MIN(IF(J27&gt;'测算稿 '!J$6,('测算稿 '!J$6-J27)*0.1+6.4,('测算稿 '!J$6-J27)*0.2+6.4),8),0))</f>
        <v>0</v>
      </c>
      <c r="L27" s="41">
        <f>VLOOKUP(B27,基础数!$1:$1048576,6,FALSE)</f>
        <v>6.18910256410257</v>
      </c>
      <c r="M27" s="38">
        <f>IF(L27="-",4.8,MAX(MIN(IF(L27&gt;'测算稿 '!L$6,('测算稿 '!L$6-L27)*0.2+4.8,('测算稿 '!L$6-L27)*0.2+4.8),6),0))</f>
        <v>6</v>
      </c>
      <c r="N27" s="41">
        <f>VLOOKUP(B27,基础数!$1:$1048576,7,FALSE)</f>
        <v>151.322916666667</v>
      </c>
      <c r="O27" s="38">
        <f>IF(N27="-",3.2,MAX(MIN(IF(N27&gt;'测算稿 '!N$6,('测算稿 '!N$6-N27)*0.05+3.2,('测算稿 '!N$6-N27)*0.05+3.2),4),0))</f>
        <v>3.0074281609195</v>
      </c>
      <c r="P27" s="41">
        <f>VLOOKUP(B27,基础数!$1:$1048576,8,FALSE)</f>
        <v>7.28125</v>
      </c>
      <c r="Q27" s="38">
        <f>IF(P27="-",4.8,MAX(MIN(IF(P27&gt;'测算稿 '!P$6,('测算稿 '!P$6-P27)*0.2+4.8,('测算稿 '!P$6-P27)*0.2+4.8),6),0))</f>
        <v>6</v>
      </c>
      <c r="R27" s="41">
        <f>VLOOKUP(B27,基础数!$1:$1048576,9,FALSE)</f>
        <v>141.625</v>
      </c>
      <c r="S27" s="38">
        <f>IF(R27="-",3.2,MAX(MIN(IF(R27&gt;'测算稿 '!R$6,('测算稿 '!R$6-R27)*0.05+3.2,('测算稿 '!R$6-R27)*0.05+3.2),4),0))</f>
        <v>2.7252700617284</v>
      </c>
      <c r="T27" s="47">
        <f>VLOOKUP(B27,基础数!$1:$1048576,10,FALSE)</f>
        <v>0.826271186440678</v>
      </c>
      <c r="U27" s="38">
        <f>IF(T27="-",8,IF(T27&lt;1,MAX(MIN(IF(T27&gt;'测算稿 '!T$6,(T27-'测算稿 '!T$6)*100*0.5+8,(T27-'测算稿 '!T$6)*100*0.2+8),10),0),10))</f>
        <v>6.70630891162306</v>
      </c>
      <c r="V27" s="47">
        <f>VLOOKUP(B27,基础数!$1:$1048576,11,FALSE)</f>
        <v>0.630769230769231</v>
      </c>
      <c r="W27" s="38">
        <f>IF(V27="-",8,IF(V27&lt;1,MAX(MIN(IF(V27&gt;'测算稿 '!V$6,(V27-'测算稿 '!V$6)*100*0.5+8,(V27-'测算稿 '!V$6)*100*0.2+8),10),0),10))</f>
        <v>5.92089360434352</v>
      </c>
      <c r="X27" s="47">
        <f>VLOOKUP(B27,基础数!$1:$1048576,12,FALSE)</f>
        <v>0.992779783393502</v>
      </c>
      <c r="Y27" s="38">
        <f>IF(X27='测算稿 '!X$6,8,IF(X27&lt;1,MAX(MIN(IF(X27&gt;'测算稿 '!X$6,(X27-'测算稿 '!X$6)*100*0.4+8,(X27-'测算稿 '!X$6)*100*0.2+8),10),0),10))</f>
        <v>9.12181454758236</v>
      </c>
      <c r="Z27" s="52">
        <v>20</v>
      </c>
      <c r="AA27" s="38">
        <f>MIN(MAX(IF(Z27=0,10,IF(Z27&lt;'[1]测算稿 '!Z$6,8+('[1]测算稿 '!Z$6-Z27)*2,8+('[1]测算稿 '!Z$6-Z27)*0.4)),0),10)</f>
        <v>0</v>
      </c>
      <c r="AB27" s="47">
        <f>VLOOKUP(B27,基础数!$1:$1048576,13,FALSE)</f>
        <v>0</v>
      </c>
      <c r="AC27" s="47">
        <f>VLOOKUP(B27,基础数!$1:$1048576,14,FALSE)</f>
        <v>0.381696428571429</v>
      </c>
      <c r="AD27" s="47">
        <f>VLOOKUP(B27,基础数!$1:$1048576,15,FALSE)</f>
        <v>0.0144404332129964</v>
      </c>
      <c r="AE27" s="38">
        <f>MIN(2,IF(AB27&lt;'测算稿 '!AB$6*1.1,0,(AB27/'测算稿 '!AB$6-1.1)*10*0.4))+MIN(2,IF(AC27&lt;'测算稿 '!AC$6*1.1,0,(AC27/'测算稿 '!AC$6-1.1)*10*0.4))+MIN(2,IF(AD27&lt;'测算稿 '!AD$6*1.1,0,(AD27/'测算稿 '!AD$6-1.1)*10*0.4))</f>
        <v>2.49155313451541</v>
      </c>
    </row>
    <row r="28" s="28" customFormat="1" ht="15" customHeight="1" spans="1:31">
      <c r="A28" s="39">
        <f t="shared" si="0"/>
        <v>18</v>
      </c>
      <c r="B28" s="40" t="s">
        <v>133</v>
      </c>
      <c r="C28" s="36">
        <f t="shared" si="1"/>
        <v>73.6972745883627</v>
      </c>
      <c r="D28" s="41">
        <f>VLOOKUP(B28,基础数!$1:$1048576,2,FALSE)</f>
        <v>7.64047619047619</v>
      </c>
      <c r="E28" s="38">
        <f>IF(D28="-",9.6,MAX(MIN(IF(D28&gt;'测算稿 '!D$6,('测算稿 '!D$6-D28)*0.6+9.6,('测算稿 '!D$6-D28)*0.6+9.6),12),0))</f>
        <v>9.94844838069637</v>
      </c>
      <c r="F28" s="41">
        <f>VLOOKUP(B28,基础数!$1:$1048576,3,FALSE)</f>
        <v>44.25</v>
      </c>
      <c r="G28" s="38">
        <f>IF(F28="-",6.4,MAX(MIN(IF(F28&gt;'测算稿 '!F$6,('测算稿 '!F$6-F28)*0.1+6.4,('测算稿 '!F$6-F28)*0.1+6.4),8),0))</f>
        <v>8</v>
      </c>
      <c r="H28" s="41">
        <f>VLOOKUP(B28,基础数!$1:$1048576,4,FALSE)</f>
        <v>8.95289855072464</v>
      </c>
      <c r="I28" s="38">
        <f>IF(H28="-",9.6,MAX(MIN(IF(H28&gt;'测算稿 '!H$6,('测算稿 '!H$6-H28)*0.3+9.6,('测算稿 '!H$6-H28)*0.6+9.6),12),0))</f>
        <v>12</v>
      </c>
      <c r="J28" s="41">
        <f>VLOOKUP(B28,基础数!$1:$1048576,5,FALSE)</f>
        <v>11.5520833333333</v>
      </c>
      <c r="K28" s="38">
        <f>IF(J28="-",6.4,MAX(MIN(IF(J28&gt;'测算稿 '!J$6,('测算稿 '!J$6-J28)*0.1+6.4,('测算稿 '!J$6-J28)*0.2+6.4),8),0))</f>
        <v>8</v>
      </c>
      <c r="L28" s="41">
        <f>VLOOKUP(B28,基础数!$1:$1048576,6,FALSE)</f>
        <v>4.5625</v>
      </c>
      <c r="M28" s="38">
        <f>IF(L28="-",4.8,MAX(MIN(IF(L28&gt;'测算稿 '!L$6,('测算稿 '!L$6-L28)*0.2+4.8,('测算稿 '!L$6-L28)*0.2+4.8),6),0))</f>
        <v>6</v>
      </c>
      <c r="N28" s="41">
        <f>VLOOKUP(B28,基础数!$1:$1048576,7,FALSE)</f>
        <v>618.041666666667</v>
      </c>
      <c r="O28" s="38">
        <f>IF(N28="-",3.2,MAX(MIN(IF(N28&gt;'测算稿 '!N$6,('测算稿 '!N$6-N28)*0.05+3.2,('测算稿 '!N$6-N28)*0.05+3.2),4),0))</f>
        <v>0</v>
      </c>
      <c r="P28" s="41">
        <f>VLOOKUP(B28,基础数!$1:$1048576,8,FALSE)</f>
        <v>8.18333333333333</v>
      </c>
      <c r="Q28" s="38">
        <f>IF(P28="-",4.8,MAX(MIN(IF(P28&gt;'测算稿 '!P$6,('测算稿 '!P$6-P28)*0.2+4.8,('测算稿 '!P$6-P28)*0.2+4.8),6),0))</f>
        <v>6</v>
      </c>
      <c r="R28" s="41">
        <f>VLOOKUP(B28,基础数!$1:$1048576,9,FALSE)</f>
        <v>132.130401234568</v>
      </c>
      <c r="S28" s="38">
        <f>IF(R28="-",3.2,MAX(MIN(IF(R28&gt;'测算稿 '!R$6,('测算稿 '!R$6-R28)*0.05+3.2,('测算稿 '!R$6-R28)*0.05+3.2),4),0))</f>
        <v>3.2</v>
      </c>
      <c r="T28" s="47">
        <f>VLOOKUP(B28,基础数!$1:$1048576,10,FALSE)</f>
        <v>0.846938775510204</v>
      </c>
      <c r="U28" s="38">
        <f>IF(T28="-",8,IF(T28&lt;1,MAX(MIN(IF(T28&gt;'测算稿 '!T$6,(T28-'测算稿 '!T$6)*100*0.5+8,(T28-'测算稿 '!T$6)*100*0.2+8),10),0),10))</f>
        <v>7.11966069301358</v>
      </c>
      <c r="V28" s="47">
        <f>VLOOKUP(B28,基础数!$1:$1048576,11,FALSE)</f>
        <v>0.603448275862069</v>
      </c>
      <c r="W28" s="38">
        <f>IF(V28="-",8,IF(V28&lt;1,MAX(MIN(IF(V28&gt;'测算稿 '!V$6,(V28-'测算稿 '!V$6)*100*0.5+8,(V28-'测算稿 '!V$6)*100*0.2+8),10),0),10))</f>
        <v>5.37447450620028</v>
      </c>
      <c r="X28" s="47">
        <f>VLOOKUP(B28,基础数!$1:$1048576,12,FALSE)</f>
        <v>0.966101694915254</v>
      </c>
      <c r="Y28" s="38">
        <f>IF(X28='测算稿 '!X$6,8,IF(X28&lt;1,MAX(MIN(IF(X28&gt;'测算稿 '!X$6,(X28-'测算稿 '!X$6)*100*0.4+8,(X28-'测算稿 '!X$6)*100*0.2+8),10),0),10))</f>
        <v>8.05469100845244</v>
      </c>
      <c r="Z28" s="52">
        <v>21</v>
      </c>
      <c r="AA28" s="38">
        <f>MIN(MAX(IF(Z28=0,10,IF(Z28&lt;'[1]测算稿 '!Z$6,8+('[1]测算稿 '!Z$6-Z28)*2,8+('[1]测算稿 '!Z$6-Z28)*0.4)),0),10)</f>
        <v>0</v>
      </c>
      <c r="AB28" s="47">
        <f>VLOOKUP(B28,基础数!$1:$1048576,13,FALSE)</f>
        <v>0</v>
      </c>
      <c r="AC28" s="47">
        <f>VLOOKUP(B28,基础数!$1:$1048576,14,FALSE)</f>
        <v>0.191780821917808</v>
      </c>
      <c r="AD28" s="47">
        <f>VLOOKUP(B28,基础数!$1:$1048576,15,FALSE)</f>
        <v>0</v>
      </c>
      <c r="AE28" s="38">
        <f>MIN(2,IF(AB28&lt;'测算稿 '!AB$6*1.1,0,(AB28/'测算稿 '!AB$6-1.1)*10*0.4))+MIN(2,IF(AC28&lt;'测算稿 '!AC$6*1.1,0,(AC28/'测算稿 '!AC$6-1.1)*10*0.4))+MIN(2,IF(AD28&lt;'测算稿 '!AD$6*1.1,0,(AD28/'测算稿 '!AD$6-1.1)*10*0.4))</f>
        <v>0</v>
      </c>
    </row>
    <row r="29" s="29" customFormat="1" ht="15" customHeight="1" spans="1:31">
      <c r="A29" s="39">
        <f t="shared" si="0"/>
        <v>20</v>
      </c>
      <c r="B29" s="43" t="s">
        <v>82</v>
      </c>
      <c r="C29" s="36">
        <f t="shared" si="1"/>
        <v>70.4829313704746</v>
      </c>
      <c r="D29" s="41">
        <f>VLOOKUP(B29,基础数!$1:$1048576,2,FALSE)</f>
        <v>6.78240740740741</v>
      </c>
      <c r="E29" s="38">
        <f>IF(D29="-",9.6,MAX(MIN(IF(D29&gt;'测算稿 '!D$6,('测算稿 '!D$6-D29)*0.6+9.6,('测算稿 '!D$6-D29)*0.6+9.6),12),0))</f>
        <v>10.4632896505376</v>
      </c>
      <c r="F29" s="41">
        <f>VLOOKUP(B29,基础数!$1:$1048576,3,FALSE)</f>
        <v>50.2083333333333</v>
      </c>
      <c r="G29" s="38">
        <f>IF(F29="-",6.4,MAX(MIN(IF(F29&gt;'测算稿 '!F$6,('测算稿 '!F$6-F29)*0.1+6.4,('测算稿 '!F$6-F29)*0.1+6.4),8),0))</f>
        <v>8</v>
      </c>
      <c r="H29" s="41">
        <f>VLOOKUP(B29,基础数!$1:$1048576,4,FALSE)</f>
        <v>6.76388888888889</v>
      </c>
      <c r="I29" s="38">
        <f>IF(H29="-",9.6,MAX(MIN(IF(H29&gt;'测算稿 '!H$6,('测算稿 '!H$6-H29)*0.3+9.6,('测算稿 '!H$6-H29)*0.6+9.6),12),0))</f>
        <v>12</v>
      </c>
      <c r="J29" s="41">
        <f>VLOOKUP(B29,基础数!$1:$1048576,5,FALSE)</f>
        <v>73.5558779282184</v>
      </c>
      <c r="K29" s="38">
        <f>IF(J29="-",6.4,MAX(MIN(IF(J29&gt;'测算稿 '!J$6,('测算稿 '!J$6-J29)*0.1+6.4,('测算稿 '!J$6-J29)*0.2+6.4),8),0))</f>
        <v>6.4</v>
      </c>
      <c r="L29" s="41">
        <f>VLOOKUP(B29,基础数!$1:$1048576,6,FALSE)</f>
        <v>14.3496536205502</v>
      </c>
      <c r="M29" s="38">
        <f>IF(L29="-",4.8,MAX(MIN(IF(L29&gt;'测算稿 '!L$6,('测算稿 '!L$6-L29)*0.2+4.8,('测算稿 '!L$6-L29)*0.2+4.8),6),0))</f>
        <v>4.8</v>
      </c>
      <c r="N29" s="41">
        <f>VLOOKUP(B29,基础数!$1:$1048576,7,FALSE)</f>
        <v>147.471479885057</v>
      </c>
      <c r="O29" s="38">
        <f>IF(N29="-",3.2,MAX(MIN(IF(N29&gt;'测算稿 '!N$6,('测算稿 '!N$6-N29)*0.05+3.2,('测算稿 '!N$6-N29)*0.05+3.2),4),0))</f>
        <v>3.2</v>
      </c>
      <c r="P29" s="41">
        <f>VLOOKUP(B29,基础数!$1:$1048576,8,FALSE)</f>
        <v>29.5784877169259</v>
      </c>
      <c r="Q29" s="38">
        <f>IF(P29="-",4.8,MAX(MIN(IF(P29&gt;'测算稿 '!P$6,('测算稿 '!P$6-P29)*0.2+4.8,('测算稿 '!P$6-P29)*0.2+4.8),6),0))</f>
        <v>4.8</v>
      </c>
      <c r="R29" s="41">
        <f>VLOOKUP(B29,基础数!$1:$1048576,9,FALSE)</f>
        <v>132.130401234568</v>
      </c>
      <c r="S29" s="38">
        <f>IF(R29="-",3.2,MAX(MIN(IF(R29&gt;'测算稿 '!R$6,('测算稿 '!R$6-R29)*0.05+3.2,('测算稿 '!R$6-R29)*0.05+3.2),4),0))</f>
        <v>3.2</v>
      </c>
      <c r="T29" s="47">
        <f>VLOOKUP(B29,基础数!$1:$1048576,10,FALSE)</f>
        <v>0.833333333333333</v>
      </c>
      <c r="U29" s="38">
        <f>IF(T29="-",8,IF(T29&lt;1,MAX(MIN(IF(T29&gt;'测算稿 '!T$6,(T29-'测算稿 '!T$6)*100*0.5+8,(T29-'测算稿 '!T$6)*100*0.2+8),10),0),10))</f>
        <v>6.84755184947616</v>
      </c>
      <c r="V29" s="47">
        <f>VLOOKUP(B29,基础数!$1:$1048576,11,FALSE)</f>
        <v>0.571428571428571</v>
      </c>
      <c r="W29" s="38">
        <f>IF(V29="-",8,IF(V29&lt;1,MAX(MIN(IF(V29&gt;'测算稿 '!V$6,(V29-'测算稿 '!V$6)*100*0.5+8,(V29-'测算稿 '!V$6)*100*0.2+8),10),0),10))</f>
        <v>4.73408041753032</v>
      </c>
      <c r="X29" s="47">
        <f>VLOOKUP(B29,基础数!$1:$1048576,12,FALSE)</f>
        <v>0.928571428571429</v>
      </c>
      <c r="Y29" s="38">
        <f>IF(X29='测算稿 '!X$6,8,IF(X29&lt;1,MAX(MIN(IF(X29&gt;'测算稿 '!X$6,(X29-'测算稿 '!X$6)*100*0.4+8,(X29-'测算稿 '!X$6)*100*0.2+8),10),0),10))</f>
        <v>7.27674017734972</v>
      </c>
      <c r="Z29" s="52">
        <v>22</v>
      </c>
      <c r="AA29" s="38">
        <f>MIN(MAX(IF(Z29=0,10,IF(Z29&lt;'[1]测算稿 '!Z$6,8+('[1]测算稿 '!Z$6-Z29)*2,8+('[1]测算稿 '!Z$6-Z29)*0.4)),0),10)</f>
        <v>0</v>
      </c>
      <c r="AB29" s="47">
        <f>VLOOKUP(B29,基础数!$1:$1048576,13,FALSE)</f>
        <v>0</v>
      </c>
      <c r="AC29" s="47">
        <f>VLOOKUP(B29,基础数!$1:$1048576,14,FALSE)</f>
        <v>0.44</v>
      </c>
      <c r="AD29" s="47">
        <f>VLOOKUP(B29,基础数!$1:$1048576,15,FALSE)</f>
        <v>0</v>
      </c>
      <c r="AE29" s="38">
        <f>MIN(2,IF(AB29&lt;'测算稿 '!AB$6*1.1,0,(AB29/'测算稿 '!AB$6-1.1)*10*0.4))+MIN(2,IF(AC29&lt;'测算稿 '!AC$6*1.1,0,(AC29/'测算稿 '!AC$6-1.1)*10*0.4))+MIN(2,IF(AD29&lt;'测算稿 '!AD$6*1.1,0,(AD29/'测算稿 '!AD$6-1.1)*10*0.4))</f>
        <v>1.23873072441916</v>
      </c>
    </row>
    <row r="30" s="28" customFormat="1" ht="15" customHeight="1" spans="1:31">
      <c r="A30" s="39">
        <f t="shared" si="0"/>
        <v>32</v>
      </c>
      <c r="B30" s="40" t="s">
        <v>134</v>
      </c>
      <c r="C30" s="36">
        <f t="shared" si="1"/>
        <v>57.64931901397</v>
      </c>
      <c r="D30" s="41">
        <f>VLOOKUP(B30,基础数!$1:$1048576,2,FALSE)</f>
        <v>12.7083333333333</v>
      </c>
      <c r="E30" s="38">
        <f>IF(D30="-",9.6,MAX(MIN(IF(D30&gt;'测算稿 '!D$6,('测算稿 '!D$6-D30)*0.6+9.6,('测算稿 '!D$6-D30)*0.6+9.6),12),0))</f>
        <v>6.9077340949821</v>
      </c>
      <c r="F30" s="41">
        <f>VLOOKUP(B30,基础数!$1:$1048576,3,FALSE)</f>
        <v>139.785714285714</v>
      </c>
      <c r="G30" s="38">
        <f>IF(F30="-",6.4,MAX(MIN(IF(F30&gt;'测算稿 '!F$6,('测算稿 '!F$6-F30)*0.1+6.4,('测算稿 '!F$6-F30)*0.1+6.4),8),0))</f>
        <v>3.0270494767294</v>
      </c>
      <c r="H30" s="41">
        <f>VLOOKUP(B30,基础数!$1:$1048576,4,FALSE)</f>
        <v>9.72569444444445</v>
      </c>
      <c r="I30" s="38">
        <f>IF(H30="-",9.6,MAX(MIN(IF(H30&gt;'测算稿 '!H$6,('测算稿 '!H$6-H30)*0.3+9.6,('测算稿 '!H$6-H30)*0.6+9.6),12),0))</f>
        <v>11.964933127572</v>
      </c>
      <c r="J30" s="41">
        <f>VLOOKUP(B30,基础数!$1:$1048576,5,FALSE)</f>
        <v>22.3611111111111</v>
      </c>
      <c r="K30" s="38">
        <f>IF(J30="-",6.4,MAX(MIN(IF(J30&gt;'测算稿 '!J$6,('测算稿 '!J$6-J30)*0.1+6.4,('测算稿 '!J$6-J30)*0.2+6.4),8),0))</f>
        <v>8</v>
      </c>
      <c r="L30" s="41">
        <f>VLOOKUP(B30,基础数!$1:$1048576,6,FALSE)</f>
        <v>10.875</v>
      </c>
      <c r="M30" s="38">
        <f>IF(L30="-",4.8,MAX(MIN(IF(L30&gt;'测算稿 '!L$6,('测算稿 '!L$6-L30)*0.2+4.8,('测算稿 '!L$6-L30)*0.2+4.8),6),0))</f>
        <v>5.49493072411004</v>
      </c>
      <c r="N30" s="41">
        <f>VLOOKUP(B30,基础数!$1:$1048576,7,FALSE)</f>
        <v>147.471479885057</v>
      </c>
      <c r="O30" s="38">
        <f>IF(N30="-",3.2,MAX(MIN(IF(N30&gt;'测算稿 '!N$6,('测算稿 '!N$6-N30)*0.05+3.2,('测算稿 '!N$6-N30)*0.05+3.2),4),0))</f>
        <v>3.2</v>
      </c>
      <c r="P30" s="41">
        <f>VLOOKUP(B30,基础数!$1:$1048576,8,FALSE)</f>
        <v>29.5784877169259</v>
      </c>
      <c r="Q30" s="38">
        <f>IF(P30="-",4.8,MAX(MIN(IF(P30&gt;'测算稿 '!P$6,('测算稿 '!P$6-P30)*0.2+4.8,('测算稿 '!P$6-P30)*0.2+4.8),6),0))</f>
        <v>4.8</v>
      </c>
      <c r="R30" s="41">
        <f>VLOOKUP(B30,基础数!$1:$1048576,9,FALSE)</f>
        <v>132.130401234568</v>
      </c>
      <c r="S30" s="38">
        <f>IF(R30="-",3.2,MAX(MIN(IF(R30&gt;'测算稿 '!R$6,('测算稿 '!R$6-R30)*0.05+3.2,('测算稿 '!R$6-R30)*0.05+3.2),4),0))</f>
        <v>3.2</v>
      </c>
      <c r="T30" s="47">
        <f>VLOOKUP(B30,基础数!$1:$1048576,10,FALSE)</f>
        <v>0.54368932038835</v>
      </c>
      <c r="U30" s="38">
        <f>IF(T30="-",8,IF(T30&lt;1,MAX(MIN(IF(T30&gt;'测算稿 '!T$6,(T30-'测算稿 '!T$6)*100*0.5+8,(T30-'测算稿 '!T$6)*100*0.2+8),10),0),10))</f>
        <v>1.0546715905765</v>
      </c>
      <c r="V30" s="47">
        <f>VLOOKUP(B30,基础数!$1:$1048576,11,FALSE)</f>
        <v>0.333333333333333</v>
      </c>
      <c r="W30" s="38">
        <f>IF(V30="-",8,IF(V30&lt;1,MAX(MIN(IF(V30&gt;'测算稿 '!V$6,(V30-'测算稿 '!V$6)*100*0.5+8,(V30-'测算稿 '!V$6)*100*0.2+8),10),0),10))</f>
        <v>0</v>
      </c>
      <c r="X30" s="47">
        <f>VLOOKUP(B30,基础数!$1:$1048576,12,FALSE)</f>
        <v>1</v>
      </c>
      <c r="Y30" s="38">
        <f>IF(X30='测算稿 '!X$6,8,IF(X30&lt;1,MAX(MIN(IF(X30&gt;'测算稿 '!X$6,(X30-'测算稿 '!X$6)*100*0.4+8,(X30-'测算稿 '!X$6)*100*0.2+8),10),0),10))</f>
        <v>10</v>
      </c>
      <c r="Z30" s="52">
        <v>23</v>
      </c>
      <c r="AA30" s="38">
        <f>MIN(MAX(IF(Z30=0,10,IF(Z30&lt;'[1]测算稿 '!Z$6,8+('[1]测算稿 '!Z$6-Z30)*2,8+('[1]测算稿 '!Z$6-Z30)*0.4)),0),10)</f>
        <v>0</v>
      </c>
      <c r="AB30" s="47">
        <f>VLOOKUP(B30,基础数!$1:$1048576,13,FALSE)</f>
        <v>0</v>
      </c>
      <c r="AC30" s="47">
        <f>VLOOKUP(B30,基础数!$1:$1048576,14,FALSE)</f>
        <v>0.252631578947368</v>
      </c>
      <c r="AD30" s="47">
        <f>VLOOKUP(B30,基础数!$1:$1048576,15,FALSE)</f>
        <v>0</v>
      </c>
      <c r="AE30" s="38">
        <f>MIN(2,IF(AB30&lt;'测算稿 '!AB$6*1.1,0,(AB30/'测算稿 '!AB$6-1.1)*10*0.4))+MIN(2,IF(AC30&lt;'测算稿 '!AC$6*1.1,0,(AC30/'测算稿 '!AC$6-1.1)*10*0.4))+MIN(2,IF(AD30&lt;'测算稿 '!AD$6*1.1,0,(AD30/'测算稿 '!AD$6-1.1)*10*0.4))</f>
        <v>0</v>
      </c>
    </row>
    <row r="31" s="28" customFormat="1" ht="15" customHeight="1" spans="1:31">
      <c r="A31" s="39">
        <f t="shared" si="0"/>
        <v>24</v>
      </c>
      <c r="B31" s="40" t="s">
        <v>135</v>
      </c>
      <c r="C31" s="36">
        <f t="shared" si="1"/>
        <v>66.0647199070104</v>
      </c>
      <c r="D31" s="41">
        <f>VLOOKUP(B31,基础数!$1:$1048576,2,FALSE)</f>
        <v>12.28264604811</v>
      </c>
      <c r="E31" s="38">
        <f>IF(D31="-",9.6,MAX(MIN(IF(D31&gt;'测算稿 '!D$6,('测算稿 '!D$6-D31)*0.6+9.6,('测算稿 '!D$6-D31)*0.6+9.6),12),0))</f>
        <v>7.16314646611608</v>
      </c>
      <c r="F31" s="41">
        <f>VLOOKUP(B31,基础数!$1:$1048576,3,FALSE)</f>
        <v>101.609375</v>
      </c>
      <c r="G31" s="38">
        <f>IF(F31="-",6.4,MAX(MIN(IF(F31&gt;'测算稿 '!F$6,('测算稿 '!F$6-F31)*0.1+6.4,('测算稿 '!F$6-F31)*0.1+6.4),8),0))</f>
        <v>6.8446834053008</v>
      </c>
      <c r="H31" s="41">
        <f>VLOOKUP(B31,基础数!$1:$1048576,4,FALSE)</f>
        <v>19.0106209150327</v>
      </c>
      <c r="I31" s="38">
        <f>IF(H31="-",9.6,MAX(MIN(IF(H31&gt;'测算稿 '!H$6,('测算稿 '!H$6-H31)*0.3+9.6,('测算稿 '!H$6-H31)*0.6+9.6),12),0))</f>
        <v>7.99698862260954</v>
      </c>
      <c r="J31" s="41">
        <f>VLOOKUP(B31,基础数!$1:$1048576,5,FALSE)</f>
        <v>35.265625</v>
      </c>
      <c r="K31" s="38">
        <f>IF(J31="-",6.4,MAX(MIN(IF(J31&gt;'测算稿 '!J$6,('测算稿 '!J$6-J31)*0.1+6.4,('测算稿 '!J$6-J31)*0.2+6.4),8),0))</f>
        <v>8</v>
      </c>
      <c r="L31" s="41">
        <f>VLOOKUP(B31,基础数!$1:$1048576,6,FALSE)</f>
        <v>7.91145833333333</v>
      </c>
      <c r="M31" s="38">
        <f>IF(L31="-",4.8,MAX(MIN(IF(L31&gt;'测算稿 '!L$6,('测算稿 '!L$6-L31)*0.2+4.8,('测算稿 '!L$6-L31)*0.2+4.8),6),0))</f>
        <v>6</v>
      </c>
      <c r="N31" s="41">
        <f>VLOOKUP(B31,基础数!$1:$1048576,7,FALSE)</f>
        <v>233.75</v>
      </c>
      <c r="O31" s="38">
        <f>IF(N31="-",3.2,MAX(MIN(IF(N31&gt;'测算稿 '!N$6,('测算稿 '!N$6-N31)*0.05+3.2,('测算稿 '!N$6-N31)*0.05+3.2),4),0))</f>
        <v>0</v>
      </c>
      <c r="P31" s="41">
        <f>VLOOKUP(B31,基础数!$1:$1048576,8,FALSE)</f>
        <v>9.03186274509804</v>
      </c>
      <c r="Q31" s="38">
        <f>IF(P31="-",4.8,MAX(MIN(IF(P31&gt;'测算稿 '!P$6,('测算稿 '!P$6-P31)*0.2+4.8,('测算稿 '!P$6-P31)*0.2+4.8),6),0))</f>
        <v>6</v>
      </c>
      <c r="R31" s="41">
        <f>VLOOKUP(B31,基础数!$1:$1048576,9,FALSE)</f>
        <v>174.916666666667</v>
      </c>
      <c r="S31" s="38">
        <f>IF(R31="-",3.2,MAX(MIN(IF(R31&gt;'测算稿 '!R$6,('测算稿 '!R$6-R31)*0.05+3.2,('测算稿 '!R$6-R31)*0.05+3.2),4),0))</f>
        <v>1.06068672839505</v>
      </c>
      <c r="T31" s="47">
        <f>VLOOKUP(B31,基础数!$1:$1048576,10,FALSE)</f>
        <v>0.775641025641026</v>
      </c>
      <c r="U31" s="38">
        <f>IF(T31="-",8,IF(T31&lt;1,MAX(MIN(IF(T31&gt;'测算稿 '!T$6,(T31-'测算稿 '!T$6)*100*0.5+8,(T31-'测算稿 '!T$6)*100*0.2+8),10),0),10))</f>
        <v>5.69370569563002</v>
      </c>
      <c r="V31" s="47">
        <f>VLOOKUP(B31,基础数!$1:$1048576,11,FALSE)</f>
        <v>0.7</v>
      </c>
      <c r="W31" s="38">
        <f>IF(V31="-",8,IF(V31&lt;1,MAX(MIN(IF(V31&gt;'测算稿 '!V$6,(V31-'测算稿 '!V$6)*100*0.5+8,(V31-'测算稿 '!V$6)*100*0.2+8),10),0),10))</f>
        <v>7.3055089889589</v>
      </c>
      <c r="X31" s="47">
        <f>VLOOKUP(B31,基础数!$1:$1048576,12,FALSE)</f>
        <v>1.01463414634146</v>
      </c>
      <c r="Y31" s="38">
        <f>IF(X31='测算稿 '!X$6,8,IF(X31&lt;1,MAX(MIN(IF(X31&gt;'测算稿 '!X$6,(X31-'测算稿 '!X$6)*100*0.4+8,(X31-'测算稿 '!X$6)*100*0.2+8),10),0),10))</f>
        <v>10</v>
      </c>
      <c r="Z31" s="52">
        <v>24</v>
      </c>
      <c r="AA31" s="38">
        <f>MIN(MAX(IF(Z31=0,10,IF(Z31&lt;'[1]测算稿 '!Z$6,8+('[1]测算稿 '!Z$6-Z31)*2,8+('[1]测算稿 '!Z$6-Z31)*0.4)),0),10)</f>
        <v>0</v>
      </c>
      <c r="AB31" s="47">
        <f>VLOOKUP(B31,基础数!$1:$1048576,13,FALSE)</f>
        <v>0</v>
      </c>
      <c r="AC31" s="47">
        <f>VLOOKUP(B31,基础数!$1:$1048576,14,FALSE)</f>
        <v>0.254545454545455</v>
      </c>
      <c r="AD31" s="47">
        <f>VLOOKUP(B31,基础数!$1:$1048576,15,FALSE)</f>
        <v>0</v>
      </c>
      <c r="AE31" s="38">
        <f>MIN(2,IF(AB31&lt;'测算稿 '!AB$6*1.1,0,(AB31/'测算稿 '!AB$6-1.1)*10*0.4))+MIN(2,IF(AC31&lt;'测算稿 '!AC$6*1.1,0,(AC31/'测算稿 '!AC$6-1.1)*10*0.4))+MIN(2,IF(AD31&lt;'测算稿 '!AD$6*1.1,0,(AD31/'测算稿 '!AD$6-1.1)*10*0.4))</f>
        <v>0</v>
      </c>
    </row>
    <row r="32" s="28" customFormat="1" ht="15" customHeight="1" spans="1:31">
      <c r="A32" s="39">
        <f t="shared" si="0"/>
        <v>29</v>
      </c>
      <c r="B32" s="40" t="s">
        <v>136</v>
      </c>
      <c r="C32" s="36">
        <f t="shared" si="1"/>
        <v>61.2220485055059</v>
      </c>
      <c r="D32" s="41">
        <f>VLOOKUP(B32,基础数!$1:$1048576,2,FALSE)</f>
        <v>11.7920875420875</v>
      </c>
      <c r="E32" s="38">
        <f>IF(D32="-",9.6,MAX(MIN(IF(D32&gt;'测算稿 '!D$6,('测算稿 '!D$6-D32)*0.6+9.6,('测算稿 '!D$6-D32)*0.6+9.6),12),0))</f>
        <v>7.45748156972958</v>
      </c>
      <c r="F32" s="41">
        <f>VLOOKUP(B32,基础数!$1:$1048576,3,FALSE)</f>
        <v>125.102112676056</v>
      </c>
      <c r="G32" s="38">
        <f>IF(F32="-",6.4,MAX(MIN(IF(F32&gt;'测算稿 '!F$6,('测算稿 '!F$6-F32)*0.1+6.4,('测算稿 '!F$6-F32)*0.1+6.4),8),0))</f>
        <v>4.4954096376952</v>
      </c>
      <c r="H32" s="41">
        <f>VLOOKUP(B32,基础数!$1:$1048576,4,FALSE)</f>
        <v>12.6333918813427</v>
      </c>
      <c r="I32" s="38">
        <f>IF(H32="-",9.6,MAX(MIN(IF(H32&gt;'测算稿 '!H$6,('测算稿 '!H$6-H32)*0.3+9.6,('测算稿 '!H$6-H32)*0.6+9.6),12),0))</f>
        <v>10.2203146654331</v>
      </c>
      <c r="J32" s="41">
        <f>VLOOKUP(B32,基础数!$1:$1048576,5,FALSE)</f>
        <v>80.842803030303</v>
      </c>
      <c r="K32" s="38">
        <f>IF(J32="-",6.4,MAX(MIN(IF(J32&gt;'测算稿 '!J$6,('测算稿 '!J$6-J32)*0.1+6.4,('测算稿 '!J$6-J32)*0.2+6.4),8),0))</f>
        <v>5.67130748979154</v>
      </c>
      <c r="L32" s="41">
        <f>VLOOKUP(B32,基础数!$1:$1048576,6,FALSE)</f>
        <v>12.9533898305085</v>
      </c>
      <c r="M32" s="38">
        <f>IF(L32="-",4.8,MAX(MIN(IF(L32&gt;'测算稿 '!L$6,('测算稿 '!L$6-L32)*0.2+4.8,('测算稿 '!L$6-L32)*0.2+4.8),6),0))</f>
        <v>5.07925275800834</v>
      </c>
      <c r="N32" s="41">
        <f>VLOOKUP(B32,基础数!$1:$1048576,7,FALSE)</f>
        <v>173.541666666667</v>
      </c>
      <c r="O32" s="38">
        <f>IF(N32="-",3.2,MAX(MIN(IF(N32&gt;'测算稿 '!N$6,('测算稿 '!N$6-N32)*0.05+3.2,('测算稿 '!N$6-N32)*0.05+3.2),4),0))</f>
        <v>1.8964906609195</v>
      </c>
      <c r="P32" s="41">
        <f>VLOOKUP(B32,基础数!$1:$1048576,8,FALSE)</f>
        <v>39.1256218905473</v>
      </c>
      <c r="Q32" s="38">
        <f>IF(P32="-",4.8,MAX(MIN(IF(P32&gt;'测算稿 '!P$6,('测算稿 '!P$6-P32)*0.2+4.8,('测算稿 '!P$6-P32)*0.2+4.8),6),0))</f>
        <v>2.89057316527572</v>
      </c>
      <c r="R32" s="41">
        <f>VLOOKUP(B32,基础数!$1:$1048576,9,FALSE)</f>
        <v>166.368489583333</v>
      </c>
      <c r="S32" s="38">
        <f>IF(R32="-",3.2,MAX(MIN(IF(R32&gt;'测算稿 '!R$6,('测算稿 '!R$6-R32)*0.05+3.2,('测算稿 '!R$6-R32)*0.05+3.2),4),0))</f>
        <v>1.48809558256175</v>
      </c>
      <c r="T32" s="47">
        <f>VLOOKUP(B32,基础数!$1:$1048576,10,FALSE)</f>
        <v>0.8856416772554</v>
      </c>
      <c r="U32" s="38">
        <f>IF(T32="-",8,IF(T32&lt;1,MAX(MIN(IF(T32&gt;'测算稿 '!T$6,(T32-'测算稿 '!T$6)*100*0.5+8,(T32-'测算稿 '!T$6)*100*0.2+8),10),0),10))</f>
        <v>7.8937187279175</v>
      </c>
      <c r="V32" s="47">
        <f>VLOOKUP(B32,基础数!$1:$1048576,11,FALSE)</f>
        <v>0.75</v>
      </c>
      <c r="W32" s="38">
        <f>IF(V32="-",8,IF(V32&lt;1,MAX(MIN(IF(V32&gt;'测算稿 '!V$6,(V32-'测算稿 '!V$6)*100*0.5+8,(V32-'测算稿 '!V$6)*100*0.2+8),10),0),10))</f>
        <v>8.76377247239725</v>
      </c>
      <c r="X32" s="47">
        <f>VLOOKUP(B32,基础数!$1:$1048576,12,FALSE)</f>
        <v>1.0114854517611</v>
      </c>
      <c r="Y32" s="38">
        <f>IF(X32='测算稿 '!X$6,8,IF(X32&lt;1,MAX(MIN(IF(X32&gt;'测算稿 '!X$6,(X32-'测算稿 '!X$6)*100*0.4+8,(X32-'测算稿 '!X$6)*100*0.2+8),10),0),10))</f>
        <v>10</v>
      </c>
      <c r="Z32" s="52">
        <v>25</v>
      </c>
      <c r="AA32" s="38">
        <f>MIN(MAX(IF(Z32=0,10,IF(Z32&lt;'[1]测算稿 '!Z$6,8+('[1]测算稿 '!Z$6-Z32)*2,8+('[1]测算稿 '!Z$6-Z32)*0.4)),0),10)</f>
        <v>0</v>
      </c>
      <c r="AB32" s="47">
        <f>VLOOKUP(B32,基础数!$1:$1048576,13,FALSE)</f>
        <v>0.0153102336825141</v>
      </c>
      <c r="AC32" s="47">
        <f>VLOOKUP(B32,基础数!$1:$1048576,14,FALSE)</f>
        <v>0.392840539284054</v>
      </c>
      <c r="AD32" s="47">
        <f>VLOOKUP(B32,基础数!$1:$1048576,15,FALSE)</f>
        <v>0.0107197549770291</v>
      </c>
      <c r="AE32" s="38">
        <f>MIN(2,IF(AB32&lt;'测算稿 '!AB$6*1.1,0,(AB32/'测算稿 '!AB$6-1.1)*10*0.4))+MIN(2,IF(AC32&lt;'测算稿 '!AC$6*1.1,0,(AC32/'测算稿 '!AC$6-1.1)*10*0.4))+MIN(2,IF(AD32&lt;'测算稿 '!AD$6*1.1,0,(AD32/'测算稿 '!AD$6-1.1)*10*0.4))</f>
        <v>4.63436822422361</v>
      </c>
    </row>
    <row r="33" s="28" customFormat="1" ht="15" customHeight="1" spans="1:31">
      <c r="A33" s="39">
        <f t="shared" si="0"/>
        <v>17</v>
      </c>
      <c r="B33" s="42" t="s">
        <v>137</v>
      </c>
      <c r="C33" s="36">
        <f t="shared" si="1"/>
        <v>73.7728859291816</v>
      </c>
      <c r="D33" s="41">
        <f>VLOOKUP(B33,基础数!$1:$1048576,2,FALSE)</f>
        <v>8.04567307692308</v>
      </c>
      <c r="E33" s="38">
        <f>IF(D33="-",9.6,MAX(MIN(IF(D33&gt;'测算稿 '!D$6,('测算稿 '!D$6-D33)*0.6+9.6,('测算稿 '!D$6-D33)*0.6+9.6),12),0))</f>
        <v>9.70533024882823</v>
      </c>
      <c r="F33" s="41">
        <f>VLOOKUP(B33,基础数!$1:$1048576,3,FALSE)</f>
        <v>83.9754901960784</v>
      </c>
      <c r="G33" s="38">
        <f>IF(F33="-",6.4,MAX(MIN(IF(F33&gt;'测算稿 '!F$6,('测算稿 '!F$6-F33)*0.1+6.4,('测算稿 '!F$6-F33)*0.1+6.4),8),0))</f>
        <v>8</v>
      </c>
      <c r="H33" s="41">
        <f>VLOOKUP(B33,基础数!$1:$1048576,4,FALSE)</f>
        <v>13.6261574074074</v>
      </c>
      <c r="I33" s="38">
        <f>IF(H33="-",9.6,MAX(MIN(IF(H33&gt;'测算稿 '!H$6,('测算稿 '!H$6-H33)*0.3+9.6,('测算稿 '!H$6-H33)*0.6+9.6),12),0))</f>
        <v>9.62465534979426</v>
      </c>
      <c r="J33" s="41">
        <f>VLOOKUP(B33,基础数!$1:$1048576,5,FALSE)</f>
        <v>80.0486111111111</v>
      </c>
      <c r="K33" s="38">
        <f>IF(J33="-",6.4,MAX(MIN(IF(J33&gt;'测算稿 '!J$6,('测算稿 '!J$6-J33)*0.1+6.4,('测算稿 '!J$6-J33)*0.2+6.4),8),0))</f>
        <v>5.75072668171073</v>
      </c>
      <c r="L33" s="41">
        <f>VLOOKUP(B33,基础数!$1:$1048576,6,FALSE)</f>
        <v>5.97553516819572</v>
      </c>
      <c r="M33" s="38">
        <f>IF(L33="-",4.8,MAX(MIN(IF(L33&gt;'测算稿 '!L$6,('测算稿 '!L$6-L33)*0.2+4.8,('测算稿 '!L$6-L33)*0.2+4.8),6),0))</f>
        <v>6</v>
      </c>
      <c r="N33" s="41">
        <f>VLOOKUP(B33,基础数!$1:$1048576,7,FALSE)</f>
        <v>137.319444444444</v>
      </c>
      <c r="O33" s="38">
        <f>IF(N33="-",3.2,MAX(MIN(IF(N33&gt;'测算稿 '!N$6,('测算稿 '!N$6-N33)*0.05+3.2,('测算稿 '!N$6-N33)*0.05+3.2),4),0))</f>
        <v>3.70760177203065</v>
      </c>
      <c r="P33" s="41">
        <f>VLOOKUP(B33,基础数!$1:$1048576,8,FALSE)</f>
        <v>9.10271317829457</v>
      </c>
      <c r="Q33" s="38">
        <f>IF(P33="-",4.8,MAX(MIN(IF(P33&gt;'测算稿 '!P$6,('测算稿 '!P$6-P33)*0.2+4.8,('测算稿 '!P$6-P33)*0.2+4.8),6),0))</f>
        <v>6</v>
      </c>
      <c r="R33" s="41">
        <f>VLOOKUP(B33,基础数!$1:$1048576,9,FALSE)</f>
        <v>189.298611111111</v>
      </c>
      <c r="S33" s="38">
        <f>IF(R33="-",3.2,MAX(MIN(IF(R33&gt;'测算稿 '!R$6,('测算稿 '!R$6-R33)*0.05+3.2,('测算稿 '!R$6-R33)*0.05+3.2),4),0))</f>
        <v>0.341589506172851</v>
      </c>
      <c r="T33" s="47">
        <f>VLOOKUP(B33,基础数!$1:$1048576,10,FALSE)</f>
        <v>0.908424908424908</v>
      </c>
      <c r="U33" s="38">
        <f>IF(T33="-",8,IF(T33&lt;1,MAX(MIN(IF(T33&gt;'测算稿 '!T$6,(T33-'测算稿 '!T$6)*100*0.5+8,(T33-'测算稿 '!T$6)*100*0.2+8),10),0),10))</f>
        <v>8.87345837826915</v>
      </c>
      <c r="V33" s="47">
        <f>VLOOKUP(B33,基础数!$1:$1048576,11,FALSE)</f>
        <v>0.716535433070866</v>
      </c>
      <c r="W33" s="38">
        <f>IF(V33="-",8,IF(V33&lt;1,MAX(MIN(IF(V33&gt;'测算稿 '!V$6,(V33-'测算稿 '!V$6)*100*0.5+8,(V33-'测算稿 '!V$6)*100*0.2+8),10),0),10))</f>
        <v>7.63621765037622</v>
      </c>
      <c r="X33" s="47">
        <f>VLOOKUP(B33,基础数!$1:$1048576,12,FALSE)</f>
        <v>1</v>
      </c>
      <c r="Y33" s="38">
        <f>IF(X33='测算稿 '!X$6,8,IF(X33&lt;1,MAX(MIN(IF(X33&gt;'测算稿 '!X$6,(X33-'测算稿 '!X$6)*100*0.4+8,(X33-'测算稿 '!X$6)*100*0.2+8),10),0),10))</f>
        <v>10</v>
      </c>
      <c r="Z33" s="52">
        <v>26</v>
      </c>
      <c r="AA33" s="38">
        <f>MIN(MAX(IF(Z33=0,10,IF(Z33&lt;'[1]测算稿 '!Z$6,8+('[1]测算稿 '!Z$6-Z33)*2,8+('[1]测算稿 '!Z$6-Z33)*0.4)),0),10)</f>
        <v>0</v>
      </c>
      <c r="AB33" s="47">
        <f>VLOOKUP(B33,基础数!$1:$1048576,13,FALSE)</f>
        <v>0.0132450331125827</v>
      </c>
      <c r="AC33" s="47">
        <f>VLOOKUP(B33,基础数!$1:$1048576,14,FALSE)</f>
        <v>0.121761658031088</v>
      </c>
      <c r="AD33" s="47">
        <f>VLOOKUP(B33,基础数!$1:$1048576,15,FALSE)</f>
        <v>0</v>
      </c>
      <c r="AE33" s="38">
        <f>MIN(2,IF(AB33&lt;'测算稿 '!AB$6*1.1,0,(AB33/'测算稿 '!AB$6-1.1)*10*0.4))+MIN(2,IF(AC33&lt;'测算稿 '!AC$6*1.1,0,(AC33/'测算稿 '!AC$6-1.1)*10*0.4))+MIN(2,IF(AD33&lt;'测算稿 '!AD$6*1.1,0,(AD33/'测算稿 '!AD$6-1.1)*10*0.4))</f>
        <v>1.86669365800051</v>
      </c>
    </row>
    <row r="34" s="28" customFormat="1" ht="15" customHeight="1" spans="1:31">
      <c r="A34" s="39">
        <f t="shared" si="0"/>
        <v>15</v>
      </c>
      <c r="B34" s="40" t="s">
        <v>50</v>
      </c>
      <c r="C34" s="36">
        <f t="shared" si="1"/>
        <v>75.7020667894285</v>
      </c>
      <c r="D34" s="41">
        <f>VLOOKUP(B34,基础数!$1:$1048576,2,FALSE)</f>
        <v>4.54082914572864</v>
      </c>
      <c r="E34" s="38">
        <f>IF(D34="-",9.6,MAX(MIN(IF(D34&gt;'测算稿 '!D$6,('测算稿 '!D$6-D34)*0.6+9.6,('测算稿 '!D$6-D34)*0.6+9.6),12),0))</f>
        <v>11.8082366075449</v>
      </c>
      <c r="F34" s="41">
        <f>VLOOKUP(B34,基础数!$1:$1048576,3,FALSE)</f>
        <v>90.7298387096774</v>
      </c>
      <c r="G34" s="38">
        <f>IF(F34="-",6.4,MAX(MIN(IF(F34&gt;'测算稿 '!F$6,('测算稿 '!F$6-F34)*0.1+6.4,('测算稿 '!F$6-F34)*0.1+6.4),8),0))</f>
        <v>7.93263703433306</v>
      </c>
      <c r="H34" s="41">
        <f>VLOOKUP(B34,基础数!$1:$1048576,4,FALSE)</f>
        <v>18.3940548780488</v>
      </c>
      <c r="I34" s="38">
        <f>IF(H34="-",9.6,MAX(MIN(IF(H34&gt;'测算稿 '!H$6,('测算稿 '!H$6-H34)*0.3+9.6,('测算稿 '!H$6-H34)*0.6+9.6),12),0))</f>
        <v>8.18195843370471</v>
      </c>
      <c r="J34" s="41">
        <f>VLOOKUP(B34,基础数!$1:$1048576,5,FALSE)</f>
        <v>78.3636363636364</v>
      </c>
      <c r="K34" s="38">
        <f>IF(J34="-",6.4,MAX(MIN(IF(J34&gt;'测算稿 '!J$6,('测算稿 '!J$6-J34)*0.1+6.4,('测算稿 '!J$6-J34)*0.2+6.4),8),0))</f>
        <v>5.9192241564582</v>
      </c>
      <c r="L34" s="41">
        <f>VLOOKUP(B34,基础数!$1:$1048576,6,FALSE)</f>
        <v>20.6617647058824</v>
      </c>
      <c r="M34" s="38">
        <f>IF(L34="-",4.8,MAX(MIN(IF(L34&gt;'测算稿 '!L$6,('测算稿 '!L$6-L34)*0.2+4.8,('测算稿 '!L$6-L34)*0.2+4.8),6),0))</f>
        <v>3.53757778293356</v>
      </c>
      <c r="N34" s="41">
        <f>VLOOKUP(B34,基础数!$1:$1048576,7,FALSE)</f>
        <v>197.288194444444</v>
      </c>
      <c r="O34" s="38">
        <f>IF(N34="-",3.2,MAX(MIN(IF(N34&gt;'测算稿 '!N$6,('测算稿 '!N$6-N34)*0.05+3.2,('测算稿 '!N$6-N34)*0.05+3.2),4),0))</f>
        <v>0.709164272030649</v>
      </c>
      <c r="P34" s="41">
        <f>VLOOKUP(B34,基础数!$1:$1048576,8,FALSE)</f>
        <v>16.4907407407407</v>
      </c>
      <c r="Q34" s="38">
        <f>IF(P34="-",4.8,MAX(MIN(IF(P34&gt;'测算稿 '!P$6,('测算稿 '!P$6-P34)*0.2+4.8,('测算稿 '!P$6-P34)*0.2+4.8),6),0))</f>
        <v>6</v>
      </c>
      <c r="R34" s="41">
        <f>VLOOKUP(B34,基础数!$1:$1048576,9,FALSE)</f>
        <v>56.2916666666667</v>
      </c>
      <c r="S34" s="38">
        <f>IF(R34="-",3.2,MAX(MIN(IF(R34&gt;'测算稿 '!R$6,('测算稿 '!R$6-R34)*0.05+3.2,('测算稿 '!R$6-R34)*0.05+3.2),4),0))</f>
        <v>4</v>
      </c>
      <c r="T34" s="47">
        <f>VLOOKUP(B34,基础数!$1:$1048576,10,FALSE)</f>
        <v>1</v>
      </c>
      <c r="U34" s="38">
        <f>IF(T34="-",8,IF(T34&lt;1,MAX(MIN(IF(T34&gt;'测算稿 '!T$6,(T34-'测算稿 '!T$6)*100*0.5+8,(T34-'测算稿 '!T$6)*100*0.2+8),10),0),10))</f>
        <v>10</v>
      </c>
      <c r="V34" s="47">
        <f>VLOOKUP(B34,基础数!$1:$1048576,11,FALSE)</f>
        <v>0.884297520661157</v>
      </c>
      <c r="W34" s="38">
        <f>IF(V34="-",8,IF(V34&lt;1,MAX(MIN(IF(V34&gt;'测算稿 '!V$6,(V34-'测算稿 '!V$6)*100*0.5+8,(V34-'测算稿 '!V$6)*100*0.2+8),10),0),10))</f>
        <v>10</v>
      </c>
      <c r="X34" s="47">
        <f>VLOOKUP(B34,基础数!$1:$1048576,12,FALSE)</f>
        <v>0.973947895791583</v>
      </c>
      <c r="Y34" s="38">
        <f>IF(X34='测算稿 '!X$6,8,IF(X34&lt;1,MAX(MIN(IF(X34&gt;'测算稿 '!X$6,(X34-'测算稿 '!X$6)*100*0.4+8,(X34-'测算稿 '!X$6)*100*0.2+8),10),0),10))</f>
        <v>8.3685390435056</v>
      </c>
      <c r="Z34" s="52">
        <v>27</v>
      </c>
      <c r="AA34" s="38">
        <f>MIN(MAX(IF(Z34=0,10,IF(Z34&lt;'[1]测算稿 '!Z$6,8+('[1]测算稿 '!Z$6-Z34)*2,8+('[1]测算稿 '!Z$6-Z34)*0.4)),0),10)</f>
        <v>0</v>
      </c>
      <c r="AB34" s="47">
        <f>VLOOKUP(B34,基础数!$1:$1048576,13,FALSE)</f>
        <v>0</v>
      </c>
      <c r="AC34" s="47">
        <f>VLOOKUP(B34,基础数!$1:$1048576,14,FALSE)</f>
        <v>0.294200848656294</v>
      </c>
      <c r="AD34" s="47">
        <f>VLOOKUP(B34,基础数!$1:$1048576,15,FALSE)</f>
        <v>0.00601202404809619</v>
      </c>
      <c r="AE34" s="38">
        <f>MIN(2,IF(AB34&lt;'测算稿 '!AB$6*1.1,0,(AB34/'测算稿 '!AB$6-1.1)*10*0.4))+MIN(2,IF(AC34&lt;'测算稿 '!AC$6*1.1,0,(AC34/'测算稿 '!AC$6-1.1)*10*0.4))+MIN(2,IF(AD34&lt;'测算稿 '!AD$6*1.1,0,(AD34/'测算稿 '!AD$6-1.1)*10*0.4))</f>
        <v>0.755270541082163</v>
      </c>
    </row>
    <row r="35" s="28" customFormat="1" ht="15" customHeight="1" spans="1:31">
      <c r="A35" s="39">
        <f t="shared" si="0"/>
        <v>28</v>
      </c>
      <c r="B35" s="42" t="s">
        <v>138</v>
      </c>
      <c r="C35" s="36">
        <f t="shared" si="1"/>
        <v>63.0046306749548</v>
      </c>
      <c r="D35" s="41">
        <f>VLOOKUP(B35,基础数!$1:$1048576,2,FALSE)</f>
        <v>3.35677083333333</v>
      </c>
      <c r="E35" s="38">
        <f>IF(D35="-",9.6,MAX(MIN(IF(D35&gt;'测算稿 '!D$6,('测算稿 '!D$6-D35)*0.6+9.6,('测算稿 '!D$6-D35)*0.6+9.6),12),0))</f>
        <v>12</v>
      </c>
      <c r="F35" s="41">
        <f>VLOOKUP(B35,基础数!$1:$1048576,3,FALSE)</f>
        <v>70.7166666666667</v>
      </c>
      <c r="G35" s="38">
        <f>IF(F35="-",6.4,MAX(MIN(IF(F35&gt;'测算稿 '!F$6,('测算稿 '!F$6-F35)*0.1+6.4,('测算稿 '!F$6-F35)*0.1+6.4),8),0))</f>
        <v>8</v>
      </c>
      <c r="H35" s="41">
        <f>VLOOKUP(B35,基础数!$1:$1048576,4,FALSE)</f>
        <v>13.6672496570645</v>
      </c>
      <c r="I35" s="38">
        <f>IF(H35="-",9.6,MAX(MIN(IF(H35&gt;'测算稿 '!H$6,('测算稿 '!H$6-H35)*0.3+9.6,('测算稿 '!H$6-H35)*0.6+9.6),12),0))</f>
        <v>9.6</v>
      </c>
      <c r="J35" s="41">
        <f>VLOOKUP(B35,基础数!$1:$1048576,5,FALSE)</f>
        <v>73.5558779282184</v>
      </c>
      <c r="K35" s="38">
        <f>IF(J35="-",6.4,MAX(MIN(IF(J35&gt;'测算稿 '!J$6,('测算稿 '!J$6-J35)*0.1+6.4,('测算稿 '!J$6-J35)*0.2+6.4),8),0))</f>
        <v>6.4</v>
      </c>
      <c r="L35" s="41">
        <f>VLOOKUP(B35,基础数!$1:$1048576,6,FALSE)</f>
        <v>11.962962962963</v>
      </c>
      <c r="M35" s="38">
        <f>IF(L35="-",4.8,MAX(MIN(IF(L35&gt;'测算稿 '!L$6,('测算稿 '!L$6-L35)*0.2+4.8,('测算稿 '!L$6-L35)*0.2+4.8),6),0))</f>
        <v>5.27733813151744</v>
      </c>
      <c r="N35" s="41">
        <f>VLOOKUP(B35,基础数!$1:$1048576,7,FALSE)</f>
        <v>251.833333333333</v>
      </c>
      <c r="O35" s="38">
        <f>IF(N35="-",3.2,MAX(MIN(IF(N35&gt;'测算稿 '!N$6,('测算稿 '!N$6-N35)*0.05+3.2,('测算稿 '!N$6-N35)*0.05+3.2),4),0))</f>
        <v>0</v>
      </c>
      <c r="P35" s="41">
        <f>VLOOKUP(B35,基础数!$1:$1048576,8,FALSE)</f>
        <v>10.0416666666667</v>
      </c>
      <c r="Q35" s="38">
        <f>IF(P35="-",4.8,MAX(MIN(IF(P35&gt;'测算稿 '!P$6,('测算稿 '!P$6-P35)*0.2+4.8,('测算稿 '!P$6-P35)*0.2+4.8),6),0))</f>
        <v>6</v>
      </c>
      <c r="R35" s="41">
        <f>VLOOKUP(B35,基础数!$1:$1048576,9,FALSE)</f>
        <v>132.130401234568</v>
      </c>
      <c r="S35" s="38">
        <f>IF(R35="-",3.2,MAX(MIN(IF(R35&gt;'测算稿 '!R$6,('测算稿 '!R$6-R35)*0.05+3.2,('测算稿 '!R$6-R35)*0.05+3.2),4),0))</f>
        <v>3.2</v>
      </c>
      <c r="T35" s="47">
        <f>VLOOKUP(B35,基础数!$1:$1048576,10,FALSE)</f>
        <v>0.810810810810811</v>
      </c>
      <c r="U35" s="38">
        <f>IF(T35="-",8,IF(T35&lt;1,MAX(MIN(IF(T35&gt;'测算稿 '!T$6,(T35-'测算稿 '!T$6)*100*0.5+8,(T35-'测算稿 '!T$6)*100*0.2+8),10),0),10))</f>
        <v>6.39710139902572</v>
      </c>
      <c r="V35" s="47">
        <f>VLOOKUP(B35,基础数!$1:$1048576,11,FALSE)</f>
        <v>0.688524590163934</v>
      </c>
      <c r="W35" s="38">
        <f>IF(V35="-",8,IF(V35&lt;1,MAX(MIN(IF(V35&gt;'测算稿 '!V$6,(V35-'测算稿 '!V$6)*100*0.5+8,(V35-'测算稿 '!V$6)*100*0.2+8),10),0),10))</f>
        <v>7.07600079223758</v>
      </c>
      <c r="X35" s="47">
        <f>VLOOKUP(B35,基础数!$1:$1048576,12,FALSE)</f>
        <v>0.480392156862745</v>
      </c>
      <c r="Y35" s="38">
        <f>IF(X35='测算稿 '!X$6,8,IF(X35&lt;1,MAX(MIN(IF(X35&gt;'测算稿 '!X$6,(X35-'测算稿 '!X$6)*100*0.4+8,(X35-'测算稿 '!X$6)*100*0.2+8),10),0),10))</f>
        <v>0</v>
      </c>
      <c r="Z35" s="52">
        <v>28</v>
      </c>
      <c r="AA35" s="38">
        <f>MIN(MAX(IF(Z35=0,10,IF(Z35&lt;'[1]测算稿 '!Z$6,8+('[1]测算稿 '!Z$6-Z35)*2,8+('[1]测算稿 '!Z$6-Z35)*0.4)),0),10)</f>
        <v>0</v>
      </c>
      <c r="AB35" s="47">
        <f>VLOOKUP(B35,基础数!$1:$1048576,13,FALSE)</f>
        <v>0</v>
      </c>
      <c r="AC35" s="47">
        <f>VLOOKUP(B35,基础数!$1:$1048576,14,FALSE)</f>
        <v>0.417142857142857</v>
      </c>
      <c r="AD35" s="47">
        <f>VLOOKUP(B35,基础数!$1:$1048576,15,FALSE)</f>
        <v>0</v>
      </c>
      <c r="AE35" s="38">
        <f>MIN(2,IF(AB35&lt;'测算稿 '!AB$6*1.1,0,(AB35/'测算稿 '!AB$6-1.1)*10*0.4))+MIN(2,IF(AC35&lt;'测算稿 '!AC$6*1.1,0,(AC35/'测算稿 '!AC$6-1.1)*10*0.4))+MIN(2,IF(AD35&lt;'测算稿 '!AD$6*1.1,0,(AD35/'测算稿 '!AD$6-1.1)*10*0.4))</f>
        <v>0.945809647825953</v>
      </c>
    </row>
    <row r="36" s="28" customFormat="1" ht="15" customHeight="1" spans="1:31">
      <c r="A36" s="39">
        <f t="shared" si="0"/>
        <v>33</v>
      </c>
      <c r="B36" s="40" t="s">
        <v>139</v>
      </c>
      <c r="C36" s="36">
        <f t="shared" si="1"/>
        <v>36.796778500927</v>
      </c>
      <c r="D36" s="41">
        <f>VLOOKUP(B36,基础数!$1:$1048576,2,FALSE)</f>
        <v>11.8350785340314</v>
      </c>
      <c r="E36" s="38">
        <f>IF(D36="-",9.6,MAX(MIN(IF(D36&gt;'测算稿 '!D$6,('测算稿 '!D$6-D36)*0.6+9.6,('测算稿 '!D$6-D36)*0.6+9.6),12),0))</f>
        <v>7.43168697456324</v>
      </c>
      <c r="F36" s="41">
        <f>VLOOKUP(B36,基础数!$1:$1048576,3,FALSE)</f>
        <v>144.195736434109</v>
      </c>
      <c r="G36" s="38">
        <f>IF(F36="-",6.4,MAX(MIN(IF(F36&gt;'测算稿 '!F$6,('测算稿 '!F$6-F36)*0.1+6.4,('测算稿 '!F$6-F36)*0.1+6.4),8),0))</f>
        <v>2.5860472618899</v>
      </c>
      <c r="H36" s="41">
        <f>VLOOKUP(B36,基础数!$1:$1048576,4,FALSE)</f>
        <v>82.9105113636364</v>
      </c>
      <c r="I36" s="38">
        <f>IF(H36="-",9.6,MAX(MIN(IF(H36&gt;'测算稿 '!H$6,('测算稿 '!H$6-H36)*0.3+9.6,('测算稿 '!H$6-H36)*0.6+9.6),12),0))</f>
        <v>0</v>
      </c>
      <c r="J36" s="41">
        <f>VLOOKUP(B36,基础数!$1:$1048576,5,FALSE)</f>
        <v>158.017361111111</v>
      </c>
      <c r="K36" s="38">
        <f>IF(J36="-",6.4,MAX(MIN(IF(J36&gt;'测算稿 '!J$6,('测算稿 '!J$6-J36)*0.1+6.4,('测算稿 '!J$6-J36)*0.2+6.4),8),0))</f>
        <v>0</v>
      </c>
      <c r="L36" s="41">
        <f>VLOOKUP(B36,基础数!$1:$1048576,6,FALSE)</f>
        <v>60.2044642857143</v>
      </c>
      <c r="M36" s="38">
        <f>IF(L36="-",4.8,MAX(MIN(IF(L36&gt;'测算稿 '!L$6,('测算稿 '!L$6-L36)*0.2+4.8,('测算稿 '!L$6-L36)*0.2+4.8),6),0))</f>
        <v>0</v>
      </c>
      <c r="N36" s="41">
        <f>VLOOKUP(B36,基础数!$1:$1048576,7,FALSE)</f>
        <v>295.26171875</v>
      </c>
      <c r="O36" s="38">
        <f>IF(N36="-",3.2,MAX(MIN(IF(N36&gt;'测算稿 '!N$6,('测算稿 '!N$6-N36)*0.05+3.2,('测算稿 '!N$6-N36)*0.05+3.2),4),0))</f>
        <v>0</v>
      </c>
      <c r="P36" s="41">
        <f>VLOOKUP(B36,基础数!$1:$1048576,8,FALSE)</f>
        <v>267.919871794872</v>
      </c>
      <c r="Q36" s="38">
        <f>IF(P36="-",4.8,MAX(MIN(IF(P36&gt;'测算稿 '!P$6,('测算稿 '!P$6-P36)*0.2+4.8,('测算稿 '!P$6-P36)*0.2+4.8),6),0))</f>
        <v>0</v>
      </c>
      <c r="R36" s="41">
        <f>VLOOKUP(B36,基础数!$1:$1048576,9,FALSE)</f>
        <v>507.8359375</v>
      </c>
      <c r="S36" s="38">
        <f>IF(R36="-",3.2,MAX(MIN(IF(R36&gt;'测算稿 '!R$6,('测算稿 '!R$6-R36)*0.05+3.2,('测算稿 '!R$6-R36)*0.05+3.2),4),0))</f>
        <v>0</v>
      </c>
      <c r="T36" s="47">
        <f>VLOOKUP(B36,基础数!$1:$1048576,10,FALSE)</f>
        <v>1.08311688311688</v>
      </c>
      <c r="U36" s="38">
        <f>IF(T36="-",8,IF(T36&lt;1,MAX(MIN(IF(T36&gt;'测算稿 '!T$6,(T36-'测算稿 '!T$6)*100*0.5+8,(T36-'测算稿 '!T$6)*100*0.2+8),10),0),10))</f>
        <v>10</v>
      </c>
      <c r="V36" s="47">
        <f>VLOOKUP(B36,基础数!$1:$1048576,11,FALSE)</f>
        <v>1.1953125</v>
      </c>
      <c r="W36" s="38">
        <f>IF(V36="-",8,IF(V36&lt;1,MAX(MIN(IF(V36&gt;'测算稿 '!V$6,(V36-'测算稿 '!V$6)*100*0.5+8,(V36-'测算稿 '!V$6)*100*0.2+8),10),0),10))</f>
        <v>10</v>
      </c>
      <c r="X36" s="47">
        <f>VLOOKUP(B36,基础数!$1:$1048576,12,FALSE)</f>
        <v>0.984210526315789</v>
      </c>
      <c r="Y36" s="38">
        <f>IF(X36='测算稿 '!X$6,8,IF(X36&lt;1,MAX(MIN(IF(X36&gt;'测算稿 '!X$6,(X36-'测算稿 '!X$6)*100*0.4+8,(X36-'测算稿 '!X$6)*100*0.2+8),10),0),10))</f>
        <v>8.77904426447384</v>
      </c>
      <c r="Z36" s="52">
        <v>29</v>
      </c>
      <c r="AA36" s="38">
        <f>MIN(MAX(IF(Z36=0,10,IF(Z36&lt;'[1]测算稿 '!Z$6,8+('[1]测算稿 '!Z$6-Z36)*2,8+('[1]测算稿 '!Z$6-Z36)*0.4)),0),10)</f>
        <v>0</v>
      </c>
      <c r="AB36" s="47">
        <f>VLOOKUP(B36,基础数!$1:$1048576,13,FALSE)</f>
        <v>0.0532994923857868</v>
      </c>
      <c r="AC36" s="47">
        <f>VLOOKUP(B36,基础数!$1:$1048576,14,FALSE)</f>
        <v>0.290161892901619</v>
      </c>
      <c r="AD36" s="47">
        <f>VLOOKUP(B36,基础数!$1:$1048576,15,FALSE)</f>
        <v>0.00350877192982456</v>
      </c>
      <c r="AE36" s="38">
        <f>MIN(2,IF(AB36&lt;'测算稿 '!AB$6*1.1,0,(AB36/'测算稿 '!AB$6-1.1)*10*0.4))+MIN(2,IF(AC36&lt;'测算稿 '!AC$6*1.1,0,(AC36/'测算稿 '!AC$6-1.1)*10*0.4))+MIN(2,IF(AD36&lt;'测算稿 '!AD$6*1.1,0,(AD36/'测算稿 '!AD$6-1.1)*10*0.4))</f>
        <v>2</v>
      </c>
    </row>
    <row r="37" s="28" customFormat="1" ht="15" customHeight="1" spans="1:31">
      <c r="A37" s="39">
        <f t="shared" si="0"/>
        <v>21</v>
      </c>
      <c r="B37" s="40" t="s">
        <v>72</v>
      </c>
      <c r="C37" s="36">
        <f t="shared" si="1"/>
        <v>69.8225629990584</v>
      </c>
      <c r="D37" s="41">
        <f>VLOOKUP(B37,基础数!$1:$1048576,2,FALSE)</f>
        <v>4.58191287878788</v>
      </c>
      <c r="E37" s="38">
        <f>IF(D37="-",9.6,MAX(MIN(IF(D37&gt;'测算稿 '!D$6,('测算稿 '!D$6-D37)*0.6+9.6,('测算稿 '!D$6-D37)*0.6+9.6),12),0))</f>
        <v>11.7835863677094</v>
      </c>
      <c r="F37" s="41">
        <f>VLOOKUP(B37,基础数!$1:$1048576,3,FALSE)</f>
        <v>126.590277777778</v>
      </c>
      <c r="G37" s="38">
        <f>IF(F37="-",6.4,MAX(MIN(IF(F37&gt;'测算稿 '!F$6,('测算稿 '!F$6-F37)*0.1+6.4,('测算稿 '!F$6-F37)*0.1+6.4),8),0))</f>
        <v>4.346593127523</v>
      </c>
      <c r="H37" s="41">
        <f>VLOOKUP(B37,基础数!$1:$1048576,4,FALSE)</f>
        <v>6.95175438596491</v>
      </c>
      <c r="I37" s="38">
        <f>IF(H37="-",9.6,MAX(MIN(IF(H37&gt;'测算稿 '!H$6,('测算稿 '!H$6-H37)*0.3+9.6,('测算稿 '!H$6-H37)*0.6+9.6),12),0))</f>
        <v>12</v>
      </c>
      <c r="J37" s="41">
        <f>VLOOKUP(B37,基础数!$1:$1048576,5,FALSE)</f>
        <v>70.09375</v>
      </c>
      <c r="K37" s="38">
        <f>IF(J37="-",6.4,MAX(MIN(IF(J37&gt;'测算稿 '!J$6,('测算稿 '!J$6-J37)*0.1+6.4,('测算稿 '!J$6-J37)*0.2+6.4),8),0))</f>
        <v>7.09242558564368</v>
      </c>
      <c r="L37" s="41">
        <f>VLOOKUP(B37,基础数!$1:$1048576,6,FALSE)</f>
        <v>31.2777777777778</v>
      </c>
      <c r="M37" s="38">
        <f>IF(L37="-",4.8,MAX(MIN(IF(L37&gt;'测算稿 '!L$6,('测算稿 '!L$6-L37)*0.2+4.8,('测算稿 '!L$6-L37)*0.2+4.8),6),0))</f>
        <v>1.41437516855448</v>
      </c>
      <c r="N37" s="41">
        <f>VLOOKUP(B37,基础数!$1:$1048576,7,FALSE)</f>
        <v>147.471479885057</v>
      </c>
      <c r="O37" s="38">
        <f>IF(N37="-",3.2,MAX(MIN(IF(N37&gt;'测算稿 '!N$6,('测算稿 '!N$6-N37)*0.05+3.2,('测算稿 '!N$6-N37)*0.05+3.2),4),0))</f>
        <v>3.2</v>
      </c>
      <c r="P37" s="41">
        <f>VLOOKUP(B37,基础数!$1:$1048576,8,FALSE)</f>
        <v>1.08333333333333</v>
      </c>
      <c r="Q37" s="38">
        <f>IF(P37="-",4.8,MAX(MIN(IF(P37&gt;'测算稿 '!P$6,('测算稿 '!P$6-P37)*0.2+4.8,('测算稿 '!P$6-P37)*0.2+4.8),6),0))</f>
        <v>6</v>
      </c>
      <c r="R37" s="41">
        <f>VLOOKUP(B37,基础数!$1:$1048576,9,FALSE)</f>
        <v>635.0625</v>
      </c>
      <c r="S37" s="38">
        <f>IF(R37="-",3.2,MAX(MIN(IF(R37&gt;'测算稿 '!R$6,('测算稿 '!R$6-R37)*0.05+3.2,('测算稿 '!R$6-R37)*0.05+3.2),4),0))</f>
        <v>0</v>
      </c>
      <c r="T37" s="47">
        <f>VLOOKUP(B37,基础数!$1:$1048576,10,FALSE)</f>
        <v>0.910714285714286</v>
      </c>
      <c r="U37" s="38">
        <f>IF(T37="-",8,IF(T37&lt;1,MAX(MIN(IF(T37&gt;'测算稿 '!T$6,(T37-'测算稿 '!T$6)*100*0.5+8,(T37-'测算稿 '!T$6)*100*0.2+8),10),0),10))</f>
        <v>8.98792724273805</v>
      </c>
      <c r="V37" s="47">
        <f>VLOOKUP(B37,基础数!$1:$1048576,11,FALSE)</f>
        <v>0.761904761904762</v>
      </c>
      <c r="W37" s="38">
        <f>IF(V37="-",8,IF(V37&lt;1,MAX(MIN(IF(V37&gt;'测算稿 '!V$6,(V37-'测算稿 '!V$6)*100*0.5+8,(V37-'测算稿 '!V$6)*100*0.2+8),10),0),10))</f>
        <v>9.35901056763535</v>
      </c>
      <c r="X37" s="47">
        <f>VLOOKUP(B37,基础数!$1:$1048576,12,FALSE)</f>
        <v>0.946666666666667</v>
      </c>
      <c r="Y37" s="38">
        <f>IF(X37='测算稿 '!X$6,8,IF(X37&lt;1,MAX(MIN(IF(X37&gt;'测算稿 '!X$6,(X37-'测算稿 '!X$6)*100*0.4+8,(X37-'测算稿 '!X$6)*100*0.2+8),10),0),10))</f>
        <v>7.63864493925448</v>
      </c>
      <c r="Z37" s="52">
        <v>30</v>
      </c>
      <c r="AA37" s="38">
        <f>MIN(MAX(IF(Z37=0,10,IF(Z37&lt;'[1]测算稿 '!Z$6,8+('[1]测算稿 '!Z$6-Z37)*2,8+('[1]测算稿 '!Z$6-Z37)*0.4)),0),10)</f>
        <v>0</v>
      </c>
      <c r="AB37" s="47">
        <f>VLOOKUP(B37,基础数!$1:$1048576,13,FALSE)</f>
        <v>0.00607902735562305</v>
      </c>
      <c r="AC37" s="47">
        <f>VLOOKUP(B37,基础数!$1:$1048576,14,FALSE)</f>
        <v>0.503311258278146</v>
      </c>
      <c r="AD37" s="47">
        <f>VLOOKUP(B37,基础数!$1:$1048576,15,FALSE)</f>
        <v>0</v>
      </c>
      <c r="AE37" s="38">
        <f>MIN(2,IF(AB37&lt;'测算稿 '!AB$6*1.1,0,(AB37/'测算稿 '!AB$6-1.1)*10*0.4))+MIN(2,IF(AC37&lt;'测算稿 '!AC$6*1.1,0,(AC37/'测算稿 '!AC$6-1.1)*10*0.4))+MIN(2,IF(AD37&lt;'测算稿 '!AD$6*1.1,0,(AD37/'测算稿 '!AD$6-1.1)*10*0.4))</f>
        <v>2</v>
      </c>
    </row>
    <row r="38" s="28" customFormat="1" ht="15" customHeight="1" spans="1:31">
      <c r="A38" s="39">
        <f t="shared" si="0"/>
        <v>7</v>
      </c>
      <c r="B38" s="42" t="s">
        <v>140</v>
      </c>
      <c r="C38" s="36">
        <f t="shared" si="1"/>
        <v>80.6448310698303</v>
      </c>
      <c r="D38" s="41">
        <f>VLOOKUP(B38,基础数!$1:$1048576,2,FALSE)</f>
        <v>6.55531609195402</v>
      </c>
      <c r="E38" s="38">
        <f>IF(D38="-",9.6,MAX(MIN(IF(D38&gt;'测算稿 '!D$6,('测算稿 '!D$6-D38)*0.6+9.6,('测算稿 '!D$6-D38)*0.6+9.6),12),0))</f>
        <v>10.5995444398097</v>
      </c>
      <c r="F38" s="41">
        <f>VLOOKUP(B38,基础数!$1:$1048576,3,FALSE)</f>
        <v>54.0639880952381</v>
      </c>
      <c r="G38" s="38">
        <f>IF(F38="-",6.4,MAX(MIN(IF(F38&gt;'测算稿 '!F$6,('测算稿 '!F$6-F38)*0.1+6.4,('测算稿 '!F$6-F38)*0.1+6.4),8),0))</f>
        <v>8</v>
      </c>
      <c r="H38" s="41">
        <f>VLOOKUP(B38,基础数!$1:$1048576,4,FALSE)</f>
        <v>12.0915915915916</v>
      </c>
      <c r="I38" s="38">
        <f>IF(H38="-",9.6,MAX(MIN(IF(H38&gt;'测算稿 '!H$6,('测算稿 '!H$6-H38)*0.3+9.6,('测算稿 '!H$6-H38)*0.6+9.6),12),0))</f>
        <v>10.5453948392837</v>
      </c>
      <c r="J38" s="41">
        <f>VLOOKUP(B38,基础数!$1:$1048576,5,FALSE)</f>
        <v>86.6527777777778</v>
      </c>
      <c r="K38" s="38">
        <f>IF(J38="-",6.4,MAX(MIN(IF(J38&gt;'测算稿 '!J$6,('测算稿 '!J$6-J38)*0.1+6.4,('测算稿 '!J$6-J38)*0.2+6.4),8),0))</f>
        <v>5.09031001504406</v>
      </c>
      <c r="L38" s="41">
        <f>VLOOKUP(B38,基础数!$1:$1048576,6,FALSE)</f>
        <v>4.08823529411765</v>
      </c>
      <c r="M38" s="38">
        <f>IF(L38="-",4.8,MAX(MIN(IF(L38&gt;'测算稿 '!L$6,('测算稿 '!L$6-L38)*0.2+4.8,('测算稿 '!L$6-L38)*0.2+4.8),6),0))</f>
        <v>6</v>
      </c>
      <c r="N38" s="41">
        <f>VLOOKUP(B38,基础数!$1:$1048576,7,FALSE)</f>
        <v>16.9166666666667</v>
      </c>
      <c r="O38" s="38">
        <f>IF(N38="-",3.2,MAX(MIN(IF(N38&gt;'测算稿 '!N$6,('测算稿 '!N$6-N38)*0.05+3.2,('测算稿 '!N$6-N38)*0.05+3.2),4),0))</f>
        <v>4</v>
      </c>
      <c r="P38" s="41">
        <f>VLOOKUP(B38,基础数!$1:$1048576,8,FALSE)</f>
        <v>7.375</v>
      </c>
      <c r="Q38" s="38">
        <f>IF(P38="-",4.8,MAX(MIN(IF(P38&gt;'测算稿 '!P$6,('测算稿 '!P$6-P38)*0.2+4.8,('测算稿 '!P$6-P38)*0.2+4.8),6),0))</f>
        <v>6</v>
      </c>
      <c r="R38" s="41">
        <f>VLOOKUP(B38,基础数!$1:$1048576,9,FALSE)</f>
        <v>6.14583333333333</v>
      </c>
      <c r="S38" s="38">
        <f>IF(R38="-",3.2,MAX(MIN(IF(R38&gt;'测算稿 '!R$6,('测算稿 '!R$6-R38)*0.05+3.2,('测算稿 '!R$6-R38)*0.05+3.2),4),0))</f>
        <v>4</v>
      </c>
      <c r="T38" s="47">
        <f>VLOOKUP(B38,基础数!$1:$1048576,10,FALSE)</f>
        <v>0.887550200803213</v>
      </c>
      <c r="U38" s="38">
        <f>IF(T38="-",8,IF(T38&lt;1,MAX(MIN(IF(T38&gt;'测算稿 '!T$6,(T38-'测算稿 '!T$6)*100*0.5+8,(T38-'测算稿 '!T$6)*100*0.2+8),10),0),10))</f>
        <v>7.93188919887376</v>
      </c>
      <c r="V38" s="47">
        <f>VLOOKUP(B38,基础数!$1:$1048576,11,FALSE)</f>
        <v>0.802395209580838</v>
      </c>
      <c r="W38" s="38">
        <f>IF(V38="-",8,IF(V38&lt;1,MAX(MIN(IF(V38&gt;'测算稿 '!V$6,(V38-'测算稿 '!V$6)*100*0.5+8,(V38-'测算稿 '!V$6)*100*0.2+8),10),0),10))</f>
        <v>10</v>
      </c>
      <c r="X38" s="47">
        <f>VLOOKUP(B38,基础数!$1:$1048576,12,FALSE)</f>
        <v>0.997183098591549</v>
      </c>
      <c r="Y38" s="38">
        <f>IF(X38='测算稿 '!X$6,8,IF(X38&lt;1,MAX(MIN(IF(X38&gt;'测算稿 '!X$6,(X38-'测算稿 '!X$6)*100*0.4+8,(X38-'测算稿 '!X$6)*100*0.2+8),10),0),10))</f>
        <v>9.29794715550424</v>
      </c>
      <c r="Z38" s="52">
        <v>31</v>
      </c>
      <c r="AA38" s="38">
        <f>MIN(MAX(IF(Z38=0,10,IF(Z38&lt;'[1]测算稿 '!Z$6,8+('[1]测算稿 '!Z$6-Z38)*2,8+('[1]测算稿 '!Z$6-Z38)*0.4)),0),10)</f>
        <v>0</v>
      </c>
      <c r="AB38" s="47">
        <f>VLOOKUP(B38,基础数!$1:$1048576,13,FALSE)</f>
        <v>0</v>
      </c>
      <c r="AC38" s="47">
        <f>VLOOKUP(B38,基础数!$1:$1048576,14,FALSE)</f>
        <v>0.407345575959933</v>
      </c>
      <c r="AD38" s="47">
        <f>VLOOKUP(B38,基础数!$1:$1048576,15,FALSE)</f>
        <v>0</v>
      </c>
      <c r="AE38" s="38">
        <f>MIN(2,IF(AB38&lt;'测算稿 '!AB$6*1.1,0,(AB38/'测算稿 '!AB$6-1.1)*10*0.4))+MIN(2,IF(AC38&lt;'测算稿 '!AC$6*1.1,0,(AC38/'测算稿 '!AC$6-1.1)*10*0.4))+MIN(2,IF(AD38&lt;'测算稿 '!AD$6*1.1,0,(AD38/'测算稿 '!AD$6-1.1)*10*0.4))</f>
        <v>0.82025457868521</v>
      </c>
    </row>
    <row r="39" s="28" customFormat="1" ht="15" customHeight="1" spans="1:31">
      <c r="A39" s="39">
        <f t="shared" si="0"/>
        <v>27</v>
      </c>
      <c r="B39" s="40" t="s">
        <v>141</v>
      </c>
      <c r="C39" s="36">
        <f t="shared" si="1"/>
        <v>64.1882332540073</v>
      </c>
      <c r="D39" s="41">
        <f>VLOOKUP(B39,基础数!$1:$1048576,2,FALSE)</f>
        <v>15.5868309002433</v>
      </c>
      <c r="E39" s="38">
        <f>IF(D39="-",9.6,MAX(MIN(IF(D39&gt;'测算稿 '!D$6,('测算稿 '!D$6-D39)*0.6+9.6,('测算稿 '!D$6-D39)*0.6+9.6),12),0))</f>
        <v>5.1806355548361</v>
      </c>
      <c r="F39" s="41">
        <f>VLOOKUP(B39,基础数!$1:$1048576,3,FALSE)</f>
        <v>100.184139784946</v>
      </c>
      <c r="G39" s="38">
        <f>IF(F39="-",6.4,MAX(MIN(IF(F39&gt;'测算稿 '!F$6,('测算稿 '!F$6-F39)*0.1+6.4,('测算稿 '!F$6-F39)*0.1+6.4),8),0))</f>
        <v>6.9872069268062</v>
      </c>
      <c r="H39" s="41">
        <f>VLOOKUP(B39,基础数!$1:$1048576,4,FALSE)</f>
        <v>19.5949248120301</v>
      </c>
      <c r="I39" s="38">
        <f>IF(H39="-",9.6,MAX(MIN(IF(H39&gt;'测算稿 '!H$6,('测算稿 '!H$6-H39)*0.3+9.6,('测算稿 '!H$6-H39)*0.6+9.6),12),0))</f>
        <v>7.82169745351032</v>
      </c>
      <c r="J39" s="41">
        <f>VLOOKUP(B39,基础数!$1:$1048576,5,FALSE)</f>
        <v>94.1170634920635</v>
      </c>
      <c r="K39" s="38">
        <f>IF(J39="-",6.4,MAX(MIN(IF(J39&gt;'测算稿 '!J$6,('测算稿 '!J$6-J39)*0.1+6.4,('测算稿 '!J$6-J39)*0.2+6.4),8),0))</f>
        <v>4.34388144361549</v>
      </c>
      <c r="L39" s="41">
        <f>VLOOKUP(B39,基础数!$1:$1048576,6,FALSE)</f>
        <v>10.9011904761905</v>
      </c>
      <c r="M39" s="38">
        <f>IF(L39="-",4.8,MAX(MIN(IF(L39&gt;'测算稿 '!L$6,('测算稿 '!L$6-L39)*0.2+4.8,('测算稿 '!L$6-L39)*0.2+4.8),6),0))</f>
        <v>5.48969262887194</v>
      </c>
      <c r="N39" s="41">
        <f>VLOOKUP(B39,基础数!$1:$1048576,7,FALSE)</f>
        <v>30.0208333333333</v>
      </c>
      <c r="O39" s="38">
        <f>IF(N39="-",3.2,MAX(MIN(IF(N39&gt;'测算稿 '!N$6,('测算稿 '!N$6-N39)*0.05+3.2,('测算稿 '!N$6-N39)*0.05+3.2),4),0))</f>
        <v>4</v>
      </c>
      <c r="P39" s="41">
        <f>VLOOKUP(B39,基础数!$1:$1048576,8,FALSE)</f>
        <v>14.3774509803922</v>
      </c>
      <c r="Q39" s="38">
        <f>IF(P39="-",4.8,MAX(MIN(IF(P39&gt;'测算稿 '!P$6,('测算稿 '!P$6-P39)*0.2+4.8,('测算稿 '!P$6-P39)*0.2+4.8),6),0))</f>
        <v>6</v>
      </c>
      <c r="R39" s="41">
        <f>VLOOKUP(B39,基础数!$1:$1048576,9,FALSE)</f>
        <v>154.791666666667</v>
      </c>
      <c r="S39" s="38">
        <f>IF(R39="-",3.2,MAX(MIN(IF(R39&gt;'测算稿 '!R$6,('测算稿 '!R$6-R39)*0.05+3.2,('测算稿 '!R$6-R39)*0.05+3.2),4),0))</f>
        <v>2.06693672839505</v>
      </c>
      <c r="T39" s="47">
        <f>VLOOKUP(B39,基础数!$1:$1048576,10,FALSE)</f>
        <v>0.848920863309353</v>
      </c>
      <c r="U39" s="38">
        <f>IF(T39="-",8,IF(T39&lt;1,MAX(MIN(IF(T39&gt;'测算稿 '!T$6,(T39-'测算稿 '!T$6)*100*0.5+8,(T39-'测算稿 '!T$6)*100*0.2+8),10),0),10))</f>
        <v>7.15930244899656</v>
      </c>
      <c r="V39" s="47">
        <f>VLOOKUP(B39,基础数!$1:$1048576,11,FALSE)</f>
        <v>0.698841698841699</v>
      </c>
      <c r="W39" s="38">
        <f>IF(V39="-",8,IF(V39&lt;1,MAX(MIN(IF(V39&gt;'测算稿 '!V$6,(V39-'测算稿 '!V$6)*100*0.5+8,(V39-'测算稿 '!V$6)*100*0.2+8),10),0),10))</f>
        <v>7.28234296579288</v>
      </c>
      <c r="X39" s="47">
        <f>VLOOKUP(B39,基础数!$1:$1048576,12,FALSE)</f>
        <v>0.973831775700935</v>
      </c>
      <c r="Y39" s="38">
        <f>IF(X39='测算稿 '!X$6,8,IF(X39&lt;1,MAX(MIN(IF(X39&gt;'测算稿 '!X$6,(X39-'测算稿 '!X$6)*100*0.4+8,(X39-'测算稿 '!X$6)*100*0.2+8),10),0),10))</f>
        <v>8.36389423987968</v>
      </c>
      <c r="Z39" s="52">
        <v>32</v>
      </c>
      <c r="AA39" s="38">
        <f>MIN(MAX(IF(Z39=0,10,IF(Z39&lt;'[1]测算稿 '!Z$6,8+('[1]测算稿 '!Z$6-Z39)*2,8+('[1]测算稿 '!Z$6-Z39)*0.4)),0),10)</f>
        <v>0</v>
      </c>
      <c r="AB39" s="47">
        <f>VLOOKUP(B39,基础数!$1:$1048576,13,FALSE)</f>
        <v>0.00493583415597232</v>
      </c>
      <c r="AC39" s="47">
        <f>VLOOKUP(B39,基础数!$1:$1048576,14,FALSE)</f>
        <v>0.382929642445213</v>
      </c>
      <c r="AD39" s="47">
        <f>VLOOKUP(B39,基础数!$1:$1048576,15,FALSE)</f>
        <v>0.00373831775700935</v>
      </c>
      <c r="AE39" s="38">
        <f>MIN(2,IF(AB39&lt;'测算稿 '!AB$6*1.1,0,(AB39/'测算稿 '!AB$6-1.1)*10*0.4))+MIN(2,IF(AC39&lt;'测算稿 '!AC$6*1.1,0,(AC39/'测算稿 '!AC$6-1.1)*10*0.4))+MIN(2,IF(AD39&lt;'测算稿 '!AD$6*1.1,0,(AD39/'测算稿 '!AD$6-1.1)*10*0.4))</f>
        <v>0.507357136696966</v>
      </c>
    </row>
  </sheetData>
  <sortState ref="A1:AE35">
    <sortCondition ref="C1" descending="1"/>
  </sortState>
  <mergeCells count="31">
    <mergeCell ref="A1:AE1"/>
    <mergeCell ref="D2:S2"/>
    <mergeCell ref="T2:Y2"/>
    <mergeCell ref="Z2:AA2"/>
    <mergeCell ref="AB2:AE2"/>
    <mergeCell ref="D3:K3"/>
    <mergeCell ref="L3:S3"/>
    <mergeCell ref="T3:W3"/>
    <mergeCell ref="X3:Y3"/>
    <mergeCell ref="Z3:AA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2:A6"/>
    <mergeCell ref="B2:B5"/>
    <mergeCell ref="C2:C5"/>
    <mergeCell ref="X4:X5"/>
    <mergeCell ref="Y4:Y5"/>
    <mergeCell ref="Z4:Z5"/>
    <mergeCell ref="AA4:AA5"/>
    <mergeCell ref="AB3:AB5"/>
    <mergeCell ref="AC3:AC5"/>
    <mergeCell ref="AD3:AD5"/>
    <mergeCell ref="AE3:AE5"/>
  </mergeCells>
  <pageMargins left="0.699305555555556" right="0.699305555555556" top="0.75" bottom="0.75" header="0.3" footer="0.3"/>
  <pageSetup paperSize="9" scale="5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workbookViewId="0">
      <selection activeCell="B6" sqref="B6"/>
    </sheetView>
  </sheetViews>
  <sheetFormatPr defaultColWidth="9" defaultRowHeight="14.25"/>
  <cols>
    <col min="1" max="1" width="10.2666666666667" style="5" customWidth="1"/>
    <col min="2" max="5" width="9.64166666666667" style="5" customWidth="1"/>
    <col min="6" max="9" width="9.64166666666667" style="1" customWidth="1"/>
    <col min="10" max="11" width="9.64166666666667" style="6" customWidth="1"/>
    <col min="12" max="15" width="10.6416666666667" style="1" customWidth="1"/>
    <col min="16" max="16384" width="9" style="1"/>
  </cols>
  <sheetData>
    <row r="1" s="1" customFormat="1" ht="22.5" spans="1:15">
      <c r="A1" s="7" t="s">
        <v>142</v>
      </c>
      <c r="B1" s="8"/>
      <c r="C1" s="8"/>
      <c r="D1" s="8"/>
      <c r="E1" s="8"/>
      <c r="F1" s="8"/>
      <c r="G1" s="8"/>
      <c r="H1" s="8"/>
      <c r="I1" s="8"/>
      <c r="J1" s="21"/>
      <c r="K1" s="21"/>
      <c r="L1" s="8"/>
      <c r="M1" s="8"/>
      <c r="N1" s="8"/>
      <c r="O1" s="22"/>
    </row>
    <row r="2" s="1" customFormat="1" spans="1:15">
      <c r="A2" s="9" t="s">
        <v>5</v>
      </c>
      <c r="B2" s="10" t="s">
        <v>143</v>
      </c>
      <c r="C2" s="10"/>
      <c r="D2" s="10"/>
      <c r="E2" s="10"/>
      <c r="F2" s="10" t="s">
        <v>144</v>
      </c>
      <c r="G2" s="10"/>
      <c r="H2" s="10"/>
      <c r="I2" s="10"/>
      <c r="J2" s="23" t="s">
        <v>145</v>
      </c>
      <c r="K2" s="23"/>
      <c r="L2" s="10" t="s">
        <v>146</v>
      </c>
      <c r="M2" s="24" t="s">
        <v>105</v>
      </c>
      <c r="N2" s="24" t="s">
        <v>106</v>
      </c>
      <c r="O2" s="24" t="s">
        <v>107</v>
      </c>
    </row>
    <row r="3" s="1" customFormat="1" ht="28.5" spans="1:15">
      <c r="A3" s="9"/>
      <c r="B3" s="11" t="s">
        <v>147</v>
      </c>
      <c r="C3" s="11" t="s">
        <v>148</v>
      </c>
      <c r="D3" s="12" t="s">
        <v>149</v>
      </c>
      <c r="E3" s="11" t="s">
        <v>150</v>
      </c>
      <c r="F3" s="12" t="s">
        <v>147</v>
      </c>
      <c r="G3" s="12" t="s">
        <v>148</v>
      </c>
      <c r="H3" s="11" t="s">
        <v>149</v>
      </c>
      <c r="I3" s="11" t="s">
        <v>150</v>
      </c>
      <c r="J3" s="25" t="s">
        <v>113</v>
      </c>
      <c r="K3" s="25" t="s">
        <v>114</v>
      </c>
      <c r="L3" s="10"/>
      <c r="M3" s="24"/>
      <c r="N3" s="24"/>
      <c r="O3" s="24"/>
    </row>
    <row r="4" s="2" customFormat="1" spans="1:15">
      <c r="A4" s="13" t="s">
        <v>151</v>
      </c>
      <c r="B4" s="14">
        <v>8.2212234916368</v>
      </c>
      <c r="C4" s="14">
        <v>106.056209053008</v>
      </c>
      <c r="D4" s="14">
        <v>13.6672496570645</v>
      </c>
      <c r="E4" s="14">
        <v>73.5558779282184</v>
      </c>
      <c r="F4" s="15">
        <v>14.3496536205502</v>
      </c>
      <c r="G4" s="15">
        <v>147.471479885057</v>
      </c>
      <c r="H4" s="16">
        <v>29.5784877169259</v>
      </c>
      <c r="I4" s="16">
        <v>132.130401234568</v>
      </c>
      <c r="J4" s="26">
        <v>0.890955740859525</v>
      </c>
      <c r="K4" s="26">
        <v>0.734724550552055</v>
      </c>
      <c r="L4" s="26">
        <v>0.964734419703943</v>
      </c>
      <c r="M4" s="26">
        <v>0.00845424004134821</v>
      </c>
      <c r="N4" s="26">
        <v>0.312126981410572</v>
      </c>
      <c r="O4" s="26">
        <v>0.0046647592984202</v>
      </c>
    </row>
    <row r="5" s="3" customFormat="1" spans="1:15">
      <c r="A5" s="17" t="s">
        <v>128</v>
      </c>
      <c r="B5" s="18">
        <v>4.66159188034188</v>
      </c>
      <c r="C5" s="18">
        <v>164.066056910569</v>
      </c>
      <c r="D5" s="18">
        <v>13.2904411764706</v>
      </c>
      <c r="E5" s="18">
        <v>213.712121212121</v>
      </c>
      <c r="F5" s="19">
        <v>4.86950549450549</v>
      </c>
      <c r="G5" s="19">
        <v>56.3452380952381</v>
      </c>
      <c r="H5" s="20">
        <v>8.67987804878049</v>
      </c>
      <c r="I5" s="20">
        <v>43.5243055555556</v>
      </c>
      <c r="J5" s="27">
        <v>0.949895615866388</v>
      </c>
      <c r="K5" s="27">
        <v>0.831730769230769</v>
      </c>
      <c r="L5" s="27">
        <v>1</v>
      </c>
      <c r="M5" s="27">
        <v>0.00513698630136983</v>
      </c>
      <c r="N5" s="27">
        <v>0.43064369900272</v>
      </c>
      <c r="O5" s="27">
        <v>0.00796178343949045</v>
      </c>
    </row>
    <row r="6" s="1" customFormat="1" spans="1:15">
      <c r="A6" s="17" t="s">
        <v>139</v>
      </c>
      <c r="B6" s="18">
        <v>11.8350785340314</v>
      </c>
      <c r="C6" s="18">
        <v>144.195736434109</v>
      </c>
      <c r="D6" s="18">
        <v>82.9105113636364</v>
      </c>
      <c r="E6" s="18">
        <v>158.017361111111</v>
      </c>
      <c r="F6" s="19">
        <v>60.2044642857143</v>
      </c>
      <c r="G6" s="19">
        <v>295.26171875</v>
      </c>
      <c r="H6" s="20">
        <v>267.919871794872</v>
      </c>
      <c r="I6" s="20">
        <v>507.8359375</v>
      </c>
      <c r="J6" s="27">
        <v>1.08311688311688</v>
      </c>
      <c r="K6" s="27">
        <v>1.1953125</v>
      </c>
      <c r="L6" s="27">
        <v>0.984210526315789</v>
      </c>
      <c r="M6" s="27">
        <v>0.0532994923857868</v>
      </c>
      <c r="N6" s="27">
        <v>0.290161892901619</v>
      </c>
      <c r="O6" s="27">
        <v>0.00350877192982456</v>
      </c>
    </row>
    <row r="7" s="1" customFormat="1" spans="1:15">
      <c r="A7" s="17" t="s">
        <v>22</v>
      </c>
      <c r="B7" s="18">
        <v>6.44467101685699</v>
      </c>
      <c r="C7" s="18">
        <v>121.661458333333</v>
      </c>
      <c r="D7" s="18">
        <v>17.2911474558671</v>
      </c>
      <c r="E7" s="18">
        <v>67.0267857142857</v>
      </c>
      <c r="F7" s="19">
        <v>6.52119252873563</v>
      </c>
      <c r="G7" s="19">
        <v>137.191666666667</v>
      </c>
      <c r="H7" s="20">
        <v>9.43813131313131</v>
      </c>
      <c r="I7" s="20">
        <v>120.679166666667</v>
      </c>
      <c r="J7" s="27">
        <v>0.974940334128878</v>
      </c>
      <c r="K7" s="27">
        <v>0.893569844789357</v>
      </c>
      <c r="L7" s="27">
        <v>1.00819672131148</v>
      </c>
      <c r="M7" s="27">
        <v>0</v>
      </c>
      <c r="N7" s="27">
        <v>0.421526789947843</v>
      </c>
      <c r="O7" s="27">
        <v>0.0155737704918033</v>
      </c>
    </row>
    <row r="8" s="1" customFormat="1" spans="1:15">
      <c r="A8" s="17" t="s">
        <v>138</v>
      </c>
      <c r="B8" s="18">
        <v>3.35677083333333</v>
      </c>
      <c r="C8" s="18">
        <v>70.7166666666667</v>
      </c>
      <c r="D8" s="18">
        <v>13.6672496570645</v>
      </c>
      <c r="E8" s="18">
        <v>73.5558779282184</v>
      </c>
      <c r="F8" s="19">
        <v>11.962962962963</v>
      </c>
      <c r="G8" s="19">
        <v>251.833333333333</v>
      </c>
      <c r="H8" s="20">
        <v>10.0416666666667</v>
      </c>
      <c r="I8" s="20">
        <v>132.130401234568</v>
      </c>
      <c r="J8" s="27">
        <v>0.810810810810811</v>
      </c>
      <c r="K8" s="27">
        <v>0.688524590163934</v>
      </c>
      <c r="L8" s="27">
        <v>0.480392156862745</v>
      </c>
      <c r="M8" s="27">
        <v>0</v>
      </c>
      <c r="N8" s="27">
        <v>0.417142857142857</v>
      </c>
      <c r="O8" s="27">
        <v>0</v>
      </c>
    </row>
    <row r="9" s="1" customFormat="1" spans="1:15">
      <c r="A9" s="17" t="s">
        <v>122</v>
      </c>
      <c r="B9" s="18">
        <v>7.12402818270165</v>
      </c>
      <c r="C9" s="18">
        <v>115.510416666667</v>
      </c>
      <c r="D9" s="18">
        <v>10.1648035230352</v>
      </c>
      <c r="E9" s="18">
        <v>71.5708333333333</v>
      </c>
      <c r="F9" s="19">
        <v>17.5741341991342</v>
      </c>
      <c r="G9" s="19">
        <v>196.699404761905</v>
      </c>
      <c r="H9" s="20">
        <v>14.1063218390805</v>
      </c>
      <c r="I9" s="20">
        <v>104.176136363636</v>
      </c>
      <c r="J9" s="27">
        <v>0.802385008517888</v>
      </c>
      <c r="K9" s="27">
        <v>0.719262295081967</v>
      </c>
      <c r="L9" s="27">
        <v>0.993917274939173</v>
      </c>
      <c r="M9" s="27">
        <v>0.000849617672047609</v>
      </c>
      <c r="N9" s="27">
        <v>0.109425785482124</v>
      </c>
      <c r="O9" s="27">
        <v>0.0048661800486618</v>
      </c>
    </row>
    <row r="10" s="1" customFormat="1" spans="1:15">
      <c r="A10" s="17" t="s">
        <v>132</v>
      </c>
      <c r="B10" s="18">
        <v>7.75850938967136</v>
      </c>
      <c r="C10" s="18">
        <v>105.329545454545</v>
      </c>
      <c r="D10" s="18">
        <v>20.7692786069652</v>
      </c>
      <c r="E10" s="18">
        <v>188.6125</v>
      </c>
      <c r="F10" s="19">
        <v>6.18910256410257</v>
      </c>
      <c r="G10" s="19">
        <v>151.322916666667</v>
      </c>
      <c r="H10" s="20">
        <v>7.28125</v>
      </c>
      <c r="I10" s="20">
        <v>141.625</v>
      </c>
      <c r="J10" s="27">
        <v>0.826271186440678</v>
      </c>
      <c r="K10" s="27">
        <v>0.630769230769231</v>
      </c>
      <c r="L10" s="27">
        <v>0.992779783393502</v>
      </c>
      <c r="M10" s="27">
        <v>0</v>
      </c>
      <c r="N10" s="27">
        <v>0.381696428571429</v>
      </c>
      <c r="O10" s="27">
        <v>0.0144404332129964</v>
      </c>
    </row>
    <row r="11" s="1" customFormat="1" spans="1:15">
      <c r="A11" s="17" t="s">
        <v>28</v>
      </c>
      <c r="B11" s="18">
        <v>10.8342803030303</v>
      </c>
      <c r="C11" s="18">
        <v>58.1217948717949</v>
      </c>
      <c r="D11" s="18">
        <v>10.4767441860465</v>
      </c>
      <c r="E11" s="18">
        <v>27.1510416666667</v>
      </c>
      <c r="F11" s="19">
        <v>9.02083333333333</v>
      </c>
      <c r="G11" s="19">
        <v>147.471479885057</v>
      </c>
      <c r="H11" s="20">
        <v>23.6875</v>
      </c>
      <c r="I11" s="20">
        <v>132.130401234568</v>
      </c>
      <c r="J11" s="27">
        <v>0.853658536585366</v>
      </c>
      <c r="K11" s="27">
        <v>0.688311688311688</v>
      </c>
      <c r="L11" s="27">
        <v>1</v>
      </c>
      <c r="M11" s="27">
        <v>0</v>
      </c>
      <c r="N11" s="27">
        <v>0.483660130718954</v>
      </c>
      <c r="O11" s="27">
        <v>0.00632911392405063</v>
      </c>
    </row>
    <row r="12" s="1" customFormat="1" spans="1:15">
      <c r="A12" s="17" t="s">
        <v>134</v>
      </c>
      <c r="B12" s="18">
        <v>12.7083333333333</v>
      </c>
      <c r="C12" s="18">
        <v>139.785714285714</v>
      </c>
      <c r="D12" s="18">
        <v>9.72569444444445</v>
      </c>
      <c r="E12" s="18">
        <v>22.3611111111111</v>
      </c>
      <c r="F12" s="19">
        <v>10.875</v>
      </c>
      <c r="G12" s="19">
        <v>147.471479885057</v>
      </c>
      <c r="H12" s="20">
        <v>29.5784877169259</v>
      </c>
      <c r="I12" s="20">
        <v>132.130401234568</v>
      </c>
      <c r="J12" s="27">
        <v>0.54368932038835</v>
      </c>
      <c r="K12" s="27">
        <v>0.333333333333333</v>
      </c>
      <c r="L12" s="27">
        <v>1</v>
      </c>
      <c r="M12" s="27">
        <v>0</v>
      </c>
      <c r="N12" s="27">
        <v>0.252631578947368</v>
      </c>
      <c r="O12" s="27">
        <v>0</v>
      </c>
    </row>
    <row r="13" s="1" customFormat="1" spans="1:15">
      <c r="A13" s="17" t="s">
        <v>32</v>
      </c>
      <c r="B13" s="18">
        <v>6.23802681992337</v>
      </c>
      <c r="C13" s="18">
        <v>107.039215686275</v>
      </c>
      <c r="D13" s="18">
        <v>14.1076388888889</v>
      </c>
      <c r="E13" s="18">
        <v>90.2361111111111</v>
      </c>
      <c r="F13" s="19">
        <v>10.3232323232323</v>
      </c>
      <c r="G13" s="19">
        <v>74.0104166666667</v>
      </c>
      <c r="H13" s="20">
        <v>35.8660714285714</v>
      </c>
      <c r="I13" s="20">
        <v>42.2083333333333</v>
      </c>
      <c r="J13" s="27">
        <v>0.852409638554217</v>
      </c>
      <c r="K13" s="27">
        <v>0.72093023255814</v>
      </c>
      <c r="L13" s="27">
        <v>0.964968152866242</v>
      </c>
      <c r="M13" s="27">
        <v>0.00215982721382291</v>
      </c>
      <c r="N13" s="27">
        <v>0.216957605985037</v>
      </c>
      <c r="O13" s="27">
        <v>0</v>
      </c>
    </row>
    <row r="14" s="1" customFormat="1" spans="1:15">
      <c r="A14" s="17" t="s">
        <v>34</v>
      </c>
      <c r="B14" s="18">
        <v>5.90921701602959</v>
      </c>
      <c r="C14" s="18">
        <v>115.793613707165</v>
      </c>
      <c r="D14" s="18">
        <v>9.47642543859649</v>
      </c>
      <c r="E14" s="18">
        <v>54.4675357873211</v>
      </c>
      <c r="F14" s="19">
        <v>7.57607033639144</v>
      </c>
      <c r="G14" s="19">
        <v>217.363888888889</v>
      </c>
      <c r="H14" s="20">
        <v>16.1769911504425</v>
      </c>
      <c r="I14" s="20">
        <v>123.650568181818</v>
      </c>
      <c r="J14" s="27">
        <v>0.844653179190752</v>
      </c>
      <c r="K14" s="27">
        <v>0.673146148308135</v>
      </c>
      <c r="L14" s="27">
        <v>0.995247148288973</v>
      </c>
      <c r="M14" s="27">
        <v>0.00130753138075312</v>
      </c>
      <c r="N14" s="27">
        <v>0.332063492063492</v>
      </c>
      <c r="O14" s="27">
        <v>0.000950570342205323</v>
      </c>
    </row>
    <row r="15" s="1" customFormat="1" spans="1:15">
      <c r="A15" s="17" t="s">
        <v>125</v>
      </c>
      <c r="B15" s="18">
        <v>8.2212234916368</v>
      </c>
      <c r="C15" s="18">
        <v>106.056209053008</v>
      </c>
      <c r="D15" s="18">
        <v>13.6672496570645</v>
      </c>
      <c r="E15" s="18">
        <v>73.5558779282184</v>
      </c>
      <c r="F15" s="19">
        <v>11.9090909090909</v>
      </c>
      <c r="G15" s="19">
        <v>106.891666666667</v>
      </c>
      <c r="H15" s="20">
        <v>13.3777777777778</v>
      </c>
      <c r="I15" s="20">
        <v>82.5333333333333</v>
      </c>
      <c r="J15" s="27">
        <v>1.23076923076923</v>
      </c>
      <c r="K15" s="27">
        <v>1.23529411764706</v>
      </c>
      <c r="L15" s="27">
        <v>0.981132075471698</v>
      </c>
      <c r="M15" s="27">
        <v>0</v>
      </c>
      <c r="N15" s="27">
        <v>0.369047619047619</v>
      </c>
      <c r="O15" s="27">
        <v>0</v>
      </c>
    </row>
    <row r="16" s="1" customFormat="1" spans="1:15">
      <c r="A16" s="17" t="s">
        <v>123</v>
      </c>
      <c r="B16" s="18">
        <v>4.93603286384977</v>
      </c>
      <c r="C16" s="18">
        <v>84.4983333333333</v>
      </c>
      <c r="D16" s="18">
        <v>25.3833333333333</v>
      </c>
      <c r="E16" s="18">
        <v>221.791666666667</v>
      </c>
      <c r="F16" s="19">
        <v>24.0572916666667</v>
      </c>
      <c r="G16" s="19">
        <v>117.354166666667</v>
      </c>
      <c r="H16" s="20">
        <v>27.5803571428571</v>
      </c>
      <c r="I16" s="20">
        <v>120.111111111111</v>
      </c>
      <c r="J16" s="27">
        <v>0.87378640776699</v>
      </c>
      <c r="K16" s="27">
        <v>0.607843137254902</v>
      </c>
      <c r="L16" s="27">
        <v>0.996987951807229</v>
      </c>
      <c r="M16" s="27">
        <v>0</v>
      </c>
      <c r="N16" s="27">
        <v>0.385185185185185</v>
      </c>
      <c r="O16" s="27">
        <v>0.0210843373493976</v>
      </c>
    </row>
    <row r="17" s="1" customFormat="1" spans="1:15">
      <c r="A17" s="17" t="s">
        <v>121</v>
      </c>
      <c r="B17" s="18">
        <v>3.8774077046549</v>
      </c>
      <c r="C17" s="18">
        <v>78.310861423221</v>
      </c>
      <c r="D17" s="18">
        <v>11.6374601275917</v>
      </c>
      <c r="E17" s="18">
        <v>73.6495098039216</v>
      </c>
      <c r="F17" s="19">
        <v>3.15162037037037</v>
      </c>
      <c r="G17" s="19">
        <v>115.854166666667</v>
      </c>
      <c r="H17" s="20">
        <v>7.06380208333333</v>
      </c>
      <c r="I17" s="20">
        <v>34.4333333333333</v>
      </c>
      <c r="J17" s="27">
        <v>1.00600961538462</v>
      </c>
      <c r="K17" s="27">
        <v>0.811638591117917</v>
      </c>
      <c r="L17" s="27">
        <v>0.994147768836869</v>
      </c>
      <c r="M17" s="27">
        <v>0</v>
      </c>
      <c r="N17" s="27">
        <v>0.306443429731101</v>
      </c>
      <c r="O17" s="27">
        <v>0.00731528895391368</v>
      </c>
    </row>
    <row r="18" s="1" customFormat="1" spans="1:15">
      <c r="A18" s="17" t="s">
        <v>133</v>
      </c>
      <c r="B18" s="18">
        <v>7.64047619047619</v>
      </c>
      <c r="C18" s="18">
        <v>44.25</v>
      </c>
      <c r="D18" s="18">
        <v>8.95289855072464</v>
      </c>
      <c r="E18" s="18">
        <v>11.5520833333333</v>
      </c>
      <c r="F18" s="19">
        <v>4.5625</v>
      </c>
      <c r="G18" s="19">
        <v>618.041666666667</v>
      </c>
      <c r="H18" s="20">
        <v>8.18333333333333</v>
      </c>
      <c r="I18" s="20">
        <v>132.130401234568</v>
      </c>
      <c r="J18" s="27">
        <v>0.846938775510204</v>
      </c>
      <c r="K18" s="27">
        <v>0.603448275862069</v>
      </c>
      <c r="L18" s="27">
        <v>0.966101694915254</v>
      </c>
      <c r="M18" s="27">
        <v>0</v>
      </c>
      <c r="N18" s="27">
        <v>0.191780821917808</v>
      </c>
      <c r="O18" s="27">
        <v>0</v>
      </c>
    </row>
    <row r="19" s="1" customFormat="1" spans="1:15">
      <c r="A19" s="17" t="s">
        <v>42</v>
      </c>
      <c r="B19" s="18">
        <v>5.99260265700483</v>
      </c>
      <c r="C19" s="18">
        <v>116.750925925926</v>
      </c>
      <c r="D19" s="18">
        <v>65.2279411764706</v>
      </c>
      <c r="E19" s="18">
        <v>131.041666666667</v>
      </c>
      <c r="F19" s="19">
        <v>7.32065217391304</v>
      </c>
      <c r="G19" s="19">
        <v>52.1964285714286</v>
      </c>
      <c r="H19" s="20">
        <v>29.5784877169259</v>
      </c>
      <c r="I19" s="20">
        <v>16.0833333333333</v>
      </c>
      <c r="J19" s="27">
        <v>0.952020202020202</v>
      </c>
      <c r="K19" s="27">
        <v>0.869565217391304</v>
      </c>
      <c r="L19" s="27">
        <v>0.992443324937028</v>
      </c>
      <c r="M19" s="27">
        <v>0.134122287968442</v>
      </c>
      <c r="N19" s="27">
        <v>0.0479616306954436</v>
      </c>
      <c r="O19" s="27">
        <v>0.0151133501259446</v>
      </c>
    </row>
    <row r="20" s="1" customFormat="1" spans="1:15">
      <c r="A20" s="17" t="s">
        <v>131</v>
      </c>
      <c r="B20" s="18">
        <v>12.8217852684145</v>
      </c>
      <c r="C20" s="18">
        <v>132.452109266943</v>
      </c>
      <c r="D20" s="18">
        <v>15.8466478696742</v>
      </c>
      <c r="E20" s="18">
        <v>81.36375</v>
      </c>
      <c r="F20" s="19">
        <v>19.5409007352941</v>
      </c>
      <c r="G20" s="19">
        <v>156.689814814815</v>
      </c>
      <c r="H20" s="20">
        <v>38.5405555555556</v>
      </c>
      <c r="I20" s="20">
        <v>139.508771929825</v>
      </c>
      <c r="J20" s="27">
        <v>0.811804008908686</v>
      </c>
      <c r="K20" s="27">
        <v>0.699602324869991</v>
      </c>
      <c r="L20" s="27">
        <v>0.956755717855084</v>
      </c>
      <c r="M20" s="27">
        <v>0.00260063319764814</v>
      </c>
      <c r="N20" s="27">
        <v>0.273628368002234</v>
      </c>
      <c r="O20" s="27">
        <v>0.00307514895252739</v>
      </c>
    </row>
    <row r="21" s="1" customFormat="1" spans="1:15">
      <c r="A21" s="17" t="s">
        <v>48</v>
      </c>
      <c r="B21" s="18">
        <v>8.67688034188034</v>
      </c>
      <c r="C21" s="18">
        <v>69.2227297895903</v>
      </c>
      <c r="D21" s="18">
        <v>11.4946817214858</v>
      </c>
      <c r="E21" s="18">
        <v>47.8575935596171</v>
      </c>
      <c r="F21" s="19">
        <v>12.3023143259416</v>
      </c>
      <c r="G21" s="19">
        <v>117.248647186147</v>
      </c>
      <c r="H21" s="20">
        <v>22.0616319444444</v>
      </c>
      <c r="I21" s="20">
        <v>99.8004557291667</v>
      </c>
      <c r="J21" s="27">
        <v>0.935128518971848</v>
      </c>
      <c r="K21" s="27">
        <v>0.726143790849673</v>
      </c>
      <c r="L21" s="27">
        <v>0.922950612605785</v>
      </c>
      <c r="M21" s="27">
        <v>7.5717422578947e-5</v>
      </c>
      <c r="N21" s="27">
        <v>0.31931906112974</v>
      </c>
      <c r="O21" s="27">
        <v>0.00252620942276115</v>
      </c>
    </row>
    <row r="22" s="1" customFormat="1" spans="1:15">
      <c r="A22" s="17" t="s">
        <v>50</v>
      </c>
      <c r="B22" s="18">
        <v>4.54082914572864</v>
      </c>
      <c r="C22" s="18">
        <v>90.7298387096774</v>
      </c>
      <c r="D22" s="18">
        <v>18.3940548780488</v>
      </c>
      <c r="E22" s="18">
        <v>78.3636363636364</v>
      </c>
      <c r="F22" s="19">
        <v>20.6617647058824</v>
      </c>
      <c r="G22" s="19">
        <v>197.288194444444</v>
      </c>
      <c r="H22" s="20">
        <v>16.4907407407407</v>
      </c>
      <c r="I22" s="20">
        <v>56.2916666666667</v>
      </c>
      <c r="J22" s="27">
        <v>1</v>
      </c>
      <c r="K22" s="27">
        <v>0.884297520661157</v>
      </c>
      <c r="L22" s="27">
        <v>0.973947895791583</v>
      </c>
      <c r="M22" s="27">
        <v>0</v>
      </c>
      <c r="N22" s="27">
        <v>0.294200848656294</v>
      </c>
      <c r="O22" s="27">
        <v>0.00601202404809619</v>
      </c>
    </row>
    <row r="23" s="1" customFormat="1" spans="1:15">
      <c r="A23" s="17" t="s">
        <v>130</v>
      </c>
      <c r="B23" s="18">
        <v>5.64951420029895</v>
      </c>
      <c r="C23" s="18">
        <v>91.694055944056</v>
      </c>
      <c r="D23" s="18">
        <v>10.2956815511163</v>
      </c>
      <c r="E23" s="18">
        <v>90.2869444444445</v>
      </c>
      <c r="F23" s="19">
        <v>14.4915021929825</v>
      </c>
      <c r="G23" s="19">
        <v>127.315972222222</v>
      </c>
      <c r="H23" s="20">
        <v>27.9923469387755</v>
      </c>
      <c r="I23" s="20">
        <v>127.799731182796</v>
      </c>
      <c r="J23" s="27">
        <v>0.88135593220339</v>
      </c>
      <c r="K23" s="27">
        <v>0.720987654320988</v>
      </c>
      <c r="L23" s="27">
        <v>0.993521341463415</v>
      </c>
      <c r="M23" s="27">
        <v>0.0482105263157895</v>
      </c>
      <c r="N23" s="27">
        <v>0.322489026594371</v>
      </c>
      <c r="O23" s="27">
        <v>0.00609756097560976</v>
      </c>
    </row>
    <row r="24" s="1" customFormat="1" spans="1:15">
      <c r="A24" s="17" t="s">
        <v>152</v>
      </c>
      <c r="B24" s="18">
        <v>7.54303728070175</v>
      </c>
      <c r="C24" s="18">
        <v>61.1519607843137</v>
      </c>
      <c r="D24" s="18">
        <v>18.0069444444444</v>
      </c>
      <c r="E24" s="18">
        <v>31.1666666666667</v>
      </c>
      <c r="F24" s="19">
        <v>28.1333333333333</v>
      </c>
      <c r="G24" s="19">
        <v>35.5</v>
      </c>
      <c r="H24" s="20">
        <v>24</v>
      </c>
      <c r="I24" s="20">
        <v>132.130401234568</v>
      </c>
      <c r="J24" s="27">
        <v>1</v>
      </c>
      <c r="K24" s="27">
        <v>0.9375</v>
      </c>
      <c r="L24" s="27">
        <v>0.984375</v>
      </c>
      <c r="M24" s="27">
        <v>0.0208333333333334</v>
      </c>
      <c r="N24" s="27">
        <v>0.316725978647687</v>
      </c>
      <c r="O24" s="27">
        <v>0</v>
      </c>
    </row>
    <row r="25" s="1" customFormat="1" spans="1:15">
      <c r="A25" s="17" t="s">
        <v>119</v>
      </c>
      <c r="B25" s="18">
        <v>5.86477987421384</v>
      </c>
      <c r="C25" s="18">
        <v>165.065586419753</v>
      </c>
      <c r="D25" s="18">
        <v>14.0094551282051</v>
      </c>
      <c r="E25" s="18">
        <v>132.364583333333</v>
      </c>
      <c r="F25" s="19">
        <v>6.66522988505747</v>
      </c>
      <c r="G25" s="19">
        <v>108.85119047619</v>
      </c>
      <c r="H25" s="20">
        <v>10.9583333333333</v>
      </c>
      <c r="I25" s="20">
        <v>136.489583333333</v>
      </c>
      <c r="J25" s="27">
        <v>0.979130434782609</v>
      </c>
      <c r="K25" s="27">
        <v>1.00641025641026</v>
      </c>
      <c r="L25" s="27">
        <v>1.00456100342075</v>
      </c>
      <c r="M25" s="27">
        <v>0</v>
      </c>
      <c r="N25" s="27">
        <v>0.106014271151886</v>
      </c>
      <c r="O25" s="27">
        <v>0.00228050171037628</v>
      </c>
    </row>
    <row r="26" s="1" customFormat="1" spans="1:15">
      <c r="A26" s="17" t="s">
        <v>120</v>
      </c>
      <c r="B26" s="18">
        <v>6.77894736842105</v>
      </c>
      <c r="C26" s="18">
        <v>131.708333333333</v>
      </c>
      <c r="D26" s="18">
        <v>13.3584401709402</v>
      </c>
      <c r="E26" s="18">
        <v>31.5490196078431</v>
      </c>
      <c r="F26" s="19">
        <v>16.3445945945946</v>
      </c>
      <c r="G26" s="19">
        <v>83.4041666666667</v>
      </c>
      <c r="H26" s="20">
        <v>12.4410714285714</v>
      </c>
      <c r="I26" s="20">
        <v>106.347826086957</v>
      </c>
      <c r="J26" s="27">
        <v>0.972602739726027</v>
      </c>
      <c r="K26" s="27">
        <v>0.841880341880342</v>
      </c>
      <c r="L26" s="27">
        <v>0.958333333333333</v>
      </c>
      <c r="M26" s="27">
        <v>0.00601684717208184</v>
      </c>
      <c r="N26" s="27">
        <v>0.291399229781772</v>
      </c>
      <c r="O26" s="27">
        <v>0</v>
      </c>
    </row>
    <row r="27" s="1" customFormat="1" spans="1:15">
      <c r="A27" s="17" t="s">
        <v>141</v>
      </c>
      <c r="B27" s="18">
        <v>15.5868309002433</v>
      </c>
      <c r="C27" s="18">
        <v>100.184139784946</v>
      </c>
      <c r="D27" s="18">
        <v>19.5949248120301</v>
      </c>
      <c r="E27" s="18">
        <v>94.1170634920635</v>
      </c>
      <c r="F27" s="19">
        <v>10.9011904761905</v>
      </c>
      <c r="G27" s="19">
        <v>30.0208333333333</v>
      </c>
      <c r="H27" s="20">
        <v>14.3774509803922</v>
      </c>
      <c r="I27" s="20">
        <v>154.791666666667</v>
      </c>
      <c r="J27" s="27">
        <v>0.848920863309353</v>
      </c>
      <c r="K27" s="27">
        <v>0.698841698841699</v>
      </c>
      <c r="L27" s="27">
        <v>0.973831775700935</v>
      </c>
      <c r="M27" s="27">
        <v>0.00493583415597232</v>
      </c>
      <c r="N27" s="27">
        <v>0.382929642445213</v>
      </c>
      <c r="O27" s="27">
        <v>0.00373831775700935</v>
      </c>
    </row>
    <row r="28" s="1" customFormat="1" spans="1:15">
      <c r="A28" s="17" t="s">
        <v>127</v>
      </c>
      <c r="B28" s="18">
        <v>9.48563408190225</v>
      </c>
      <c r="C28" s="18">
        <v>115.30173992674</v>
      </c>
      <c r="D28" s="18">
        <v>10.3649058894961</v>
      </c>
      <c r="E28" s="18">
        <v>96.9982142857143</v>
      </c>
      <c r="F28" s="19">
        <v>9.4497311827957</v>
      </c>
      <c r="G28" s="19">
        <v>210.886904761905</v>
      </c>
      <c r="H28" s="20">
        <v>24.7436224489796</v>
      </c>
      <c r="I28" s="20">
        <v>124.717857142857</v>
      </c>
      <c r="J28" s="27">
        <v>0.810007818608288</v>
      </c>
      <c r="K28" s="27">
        <v>0.701121794871795</v>
      </c>
      <c r="L28" s="27">
        <v>0.929356357927787</v>
      </c>
      <c r="M28" s="27">
        <v>0.00598265031408918</v>
      </c>
      <c r="N28" s="27">
        <v>0.294052456594016</v>
      </c>
      <c r="O28" s="27">
        <v>0.00680272108843537</v>
      </c>
    </row>
    <row r="29" s="1" customFormat="1" spans="1:15">
      <c r="A29" s="17" t="s">
        <v>135</v>
      </c>
      <c r="B29" s="18">
        <v>12.28264604811</v>
      </c>
      <c r="C29" s="18">
        <v>101.609375</v>
      </c>
      <c r="D29" s="18">
        <v>19.0106209150327</v>
      </c>
      <c r="E29" s="18">
        <v>35.265625</v>
      </c>
      <c r="F29" s="19">
        <v>7.91145833333333</v>
      </c>
      <c r="G29" s="19">
        <v>233.75</v>
      </c>
      <c r="H29" s="20">
        <v>9.03186274509804</v>
      </c>
      <c r="I29" s="20">
        <v>174.916666666667</v>
      </c>
      <c r="J29" s="27">
        <v>0.775641025641026</v>
      </c>
      <c r="K29" s="27">
        <v>0.7</v>
      </c>
      <c r="L29" s="27">
        <v>1.01463414634146</v>
      </c>
      <c r="M29" s="27">
        <v>0</v>
      </c>
      <c r="N29" s="27">
        <v>0.254545454545455</v>
      </c>
      <c r="O29" s="27">
        <v>0</v>
      </c>
    </row>
    <row r="30" s="1" customFormat="1" spans="1:15">
      <c r="A30" s="17" t="s">
        <v>126</v>
      </c>
      <c r="B30" s="18">
        <v>5.26512096774194</v>
      </c>
      <c r="C30" s="18">
        <v>120.002604166667</v>
      </c>
      <c r="D30" s="18">
        <v>18.8314950980392</v>
      </c>
      <c r="E30" s="18">
        <v>23.2208333333333</v>
      </c>
      <c r="F30" s="19">
        <v>11.5014880952381</v>
      </c>
      <c r="G30" s="19">
        <v>47.1416666666667</v>
      </c>
      <c r="H30" s="20">
        <v>31.475</v>
      </c>
      <c r="I30" s="20">
        <v>120.291666666667</v>
      </c>
      <c r="J30" s="27">
        <v>0.900523560209424</v>
      </c>
      <c r="K30" s="27">
        <v>0.732824427480916</v>
      </c>
      <c r="L30" s="27">
        <v>0.992537313432836</v>
      </c>
      <c r="M30" s="27">
        <v>0</v>
      </c>
      <c r="N30" s="27">
        <v>0.400447427293065</v>
      </c>
      <c r="O30" s="27">
        <v>0.0111940298507463</v>
      </c>
    </row>
    <row r="31" s="1" customFormat="1" spans="1:15">
      <c r="A31" s="17" t="s">
        <v>124</v>
      </c>
      <c r="B31" s="18">
        <v>7.6987895716946</v>
      </c>
      <c r="C31" s="18">
        <v>130.069444444444</v>
      </c>
      <c r="D31" s="18">
        <v>37.0645833333333</v>
      </c>
      <c r="E31" s="18">
        <v>120.444444444444</v>
      </c>
      <c r="F31" s="19">
        <v>5.55555555555556</v>
      </c>
      <c r="G31" s="19">
        <v>40.6875</v>
      </c>
      <c r="H31" s="20">
        <v>29.5784877169259</v>
      </c>
      <c r="I31" s="20">
        <v>132.130401234568</v>
      </c>
      <c r="J31" s="27">
        <v>0.806691449814127</v>
      </c>
      <c r="K31" s="27">
        <v>0.709677419354839</v>
      </c>
      <c r="L31" s="27">
        <v>1.02928870292887</v>
      </c>
      <c r="M31" s="27">
        <v>0</v>
      </c>
      <c r="N31" s="27">
        <v>0.299120234604106</v>
      </c>
      <c r="O31" s="27">
        <v>0</v>
      </c>
    </row>
    <row r="32" s="1" customFormat="1" spans="1:15">
      <c r="A32" s="17" t="s">
        <v>70</v>
      </c>
      <c r="B32" s="18">
        <v>84.3333333333333</v>
      </c>
      <c r="C32" s="18">
        <v>189.83024691358</v>
      </c>
      <c r="D32" s="18">
        <v>25.3906926406926</v>
      </c>
      <c r="E32" s="18">
        <v>161.625</v>
      </c>
      <c r="F32" s="19">
        <v>75.3788580246914</v>
      </c>
      <c r="G32" s="19">
        <v>375.244047619048</v>
      </c>
      <c r="H32" s="20">
        <v>60.0694444444445</v>
      </c>
      <c r="I32" s="20">
        <v>47.6416666666667</v>
      </c>
      <c r="J32" s="27">
        <v>0.869662921348315</v>
      </c>
      <c r="K32" s="27">
        <v>0.753164556962025</v>
      </c>
      <c r="L32" s="27">
        <v>0.693675889328063</v>
      </c>
      <c r="M32" s="27">
        <v>0</v>
      </c>
      <c r="N32" s="27">
        <v>0.208137715179969</v>
      </c>
      <c r="O32" s="27">
        <v>0.00395256916996047</v>
      </c>
    </row>
    <row r="33" s="1" customFormat="1" spans="1:15">
      <c r="A33" s="17" t="s">
        <v>72</v>
      </c>
      <c r="B33" s="18">
        <v>4.58191287878788</v>
      </c>
      <c r="C33" s="18">
        <v>126.590277777778</v>
      </c>
      <c r="D33" s="18">
        <v>6.95175438596491</v>
      </c>
      <c r="E33" s="18">
        <v>70.09375</v>
      </c>
      <c r="F33" s="19">
        <v>31.2777777777778</v>
      </c>
      <c r="G33" s="19">
        <v>147.471479885057</v>
      </c>
      <c r="H33" s="20">
        <v>1.08333333333333</v>
      </c>
      <c r="I33" s="20">
        <v>635.0625</v>
      </c>
      <c r="J33" s="27">
        <v>0.910714285714286</v>
      </c>
      <c r="K33" s="27">
        <v>0.761904761904762</v>
      </c>
      <c r="L33" s="27">
        <v>0.946666666666667</v>
      </c>
      <c r="M33" s="27">
        <v>0.00607902735562305</v>
      </c>
      <c r="N33" s="27">
        <v>0.503311258278146</v>
      </c>
      <c r="O33" s="27">
        <v>0</v>
      </c>
    </row>
    <row r="34" s="1" customFormat="1" spans="1:15">
      <c r="A34" s="17" t="s">
        <v>140</v>
      </c>
      <c r="B34" s="18">
        <v>6.55531609195402</v>
      </c>
      <c r="C34" s="18">
        <v>54.0639880952381</v>
      </c>
      <c r="D34" s="18">
        <v>12.0915915915916</v>
      </c>
      <c r="E34" s="18">
        <v>86.6527777777778</v>
      </c>
      <c r="F34" s="19">
        <v>4.08823529411765</v>
      </c>
      <c r="G34" s="19">
        <v>16.9166666666667</v>
      </c>
      <c r="H34" s="20">
        <v>7.375</v>
      </c>
      <c r="I34" s="20">
        <v>6.14583333333333</v>
      </c>
      <c r="J34" s="27">
        <v>0.887550200803213</v>
      </c>
      <c r="K34" s="27">
        <v>0.802395209580838</v>
      </c>
      <c r="L34" s="27">
        <v>0.997183098591549</v>
      </c>
      <c r="M34" s="27">
        <v>0</v>
      </c>
      <c r="N34" s="27">
        <v>0.407345575959933</v>
      </c>
      <c r="O34" s="27">
        <v>0</v>
      </c>
    </row>
    <row r="35" s="1" customFormat="1" spans="1:15">
      <c r="A35" s="17" t="s">
        <v>136</v>
      </c>
      <c r="B35" s="18">
        <v>11.7920875420875</v>
      </c>
      <c r="C35" s="18">
        <v>125.102112676056</v>
      </c>
      <c r="D35" s="18">
        <v>12.6333918813427</v>
      </c>
      <c r="E35" s="18">
        <v>80.842803030303</v>
      </c>
      <c r="F35" s="19">
        <v>12.9533898305085</v>
      </c>
      <c r="G35" s="19">
        <v>173.541666666667</v>
      </c>
      <c r="H35" s="20">
        <v>39.1256218905473</v>
      </c>
      <c r="I35" s="20">
        <v>166.368489583333</v>
      </c>
      <c r="J35" s="27">
        <v>0.8856416772554</v>
      </c>
      <c r="K35" s="27">
        <v>0.75</v>
      </c>
      <c r="L35" s="27">
        <v>1.0114854517611</v>
      </c>
      <c r="M35" s="27">
        <v>0.0153102336825141</v>
      </c>
      <c r="N35" s="27">
        <v>0.392840539284054</v>
      </c>
      <c r="O35" s="27">
        <v>0.0107197549770291</v>
      </c>
    </row>
    <row r="36" s="1" customFormat="1" spans="1:15">
      <c r="A36" s="17" t="s">
        <v>137</v>
      </c>
      <c r="B36" s="18">
        <v>8.04567307692308</v>
      </c>
      <c r="C36" s="18">
        <v>83.9754901960784</v>
      </c>
      <c r="D36" s="18">
        <v>13.6261574074074</v>
      </c>
      <c r="E36" s="18">
        <v>80.0486111111111</v>
      </c>
      <c r="F36" s="19">
        <v>5.97553516819572</v>
      </c>
      <c r="G36" s="19">
        <v>137.319444444444</v>
      </c>
      <c r="H36" s="20">
        <v>9.10271317829457</v>
      </c>
      <c r="I36" s="20">
        <v>189.298611111111</v>
      </c>
      <c r="J36" s="27">
        <v>0.908424908424908</v>
      </c>
      <c r="K36" s="27">
        <v>0.716535433070866</v>
      </c>
      <c r="L36" s="27">
        <v>1</v>
      </c>
      <c r="M36" s="27">
        <v>0.0132450331125827</v>
      </c>
      <c r="N36" s="27">
        <v>0.121761658031088</v>
      </c>
      <c r="O36" s="27">
        <v>0</v>
      </c>
    </row>
    <row r="37" s="1" customFormat="1" spans="1:15">
      <c r="A37" s="17" t="s">
        <v>129</v>
      </c>
      <c r="B37" s="18">
        <v>4.70294540229885</v>
      </c>
      <c r="C37" s="18">
        <v>126.056818181818</v>
      </c>
      <c r="D37" s="18">
        <v>9.31666666666667</v>
      </c>
      <c r="E37" s="18">
        <v>54.1979166666667</v>
      </c>
      <c r="F37" s="19">
        <v>16</v>
      </c>
      <c r="G37" s="19">
        <v>147.471479885057</v>
      </c>
      <c r="H37" s="20">
        <v>29.5784877169259</v>
      </c>
      <c r="I37" s="20">
        <v>132.130401234568</v>
      </c>
      <c r="J37" s="27">
        <v>0.958620689655173</v>
      </c>
      <c r="K37" s="27">
        <v>0.666666666666667</v>
      </c>
      <c r="L37" s="27">
        <v>1</v>
      </c>
      <c r="M37" s="27">
        <v>0</v>
      </c>
      <c r="N37" s="27">
        <v>0.285046728971963</v>
      </c>
      <c r="O37" s="27">
        <v>0.0065359477124183</v>
      </c>
    </row>
    <row r="38" s="1" customFormat="1" spans="1:15">
      <c r="A38" s="17" t="s">
        <v>82</v>
      </c>
      <c r="B38" s="18">
        <v>6.78240740740741</v>
      </c>
      <c r="C38" s="18">
        <v>50.2083333333333</v>
      </c>
      <c r="D38" s="18">
        <v>6.76388888888889</v>
      </c>
      <c r="E38" s="18">
        <v>73.5558779282184</v>
      </c>
      <c r="F38" s="19">
        <v>14.3496536205502</v>
      </c>
      <c r="G38" s="19">
        <v>147.471479885057</v>
      </c>
      <c r="H38" s="20">
        <v>29.5784877169259</v>
      </c>
      <c r="I38" s="20">
        <v>132.130401234568</v>
      </c>
      <c r="J38" s="27">
        <v>0.833333333333333</v>
      </c>
      <c r="K38" s="27">
        <v>0.571428571428571</v>
      </c>
      <c r="L38" s="27">
        <v>0.928571428571429</v>
      </c>
      <c r="M38" s="27">
        <v>0</v>
      </c>
      <c r="N38" s="27">
        <v>0.44</v>
      </c>
      <c r="O38" s="27">
        <v>0</v>
      </c>
    </row>
    <row r="39" s="1" customFormat="1" spans="1:15">
      <c r="A39" s="17" t="s">
        <v>153</v>
      </c>
      <c r="B39" s="18">
        <v>8.2212234916368</v>
      </c>
      <c r="C39" s="18">
        <v>106.056209053008</v>
      </c>
      <c r="D39" s="18">
        <v>8.94017094017094</v>
      </c>
      <c r="E39" s="18">
        <v>95.2333333333333</v>
      </c>
      <c r="F39" s="19">
        <v>14.3496536205502</v>
      </c>
      <c r="G39" s="19">
        <v>147.471479885057</v>
      </c>
      <c r="H39" s="20">
        <v>29.5784877169259</v>
      </c>
      <c r="I39" s="20">
        <v>132.130401234568</v>
      </c>
      <c r="J39" s="27">
        <v>0.890955740859525</v>
      </c>
      <c r="K39" s="27">
        <v>0.657894736842105</v>
      </c>
      <c r="L39" s="27">
        <v>0.98</v>
      </c>
      <c r="M39" s="27">
        <v>0</v>
      </c>
      <c r="N39" s="27">
        <v>0.350649350649351</v>
      </c>
      <c r="O39" s="27">
        <v>0</v>
      </c>
    </row>
    <row r="40" s="1" customFormat="1" spans="1:15">
      <c r="A40" s="17" t="s">
        <v>118</v>
      </c>
      <c r="B40" s="18">
        <v>3.71202064896755</v>
      </c>
      <c r="C40" s="18">
        <v>95.3257575757576</v>
      </c>
      <c r="D40" s="18">
        <v>7.43611111111111</v>
      </c>
      <c r="E40" s="18">
        <v>33.4861111111111</v>
      </c>
      <c r="F40" s="19">
        <v>3.20833333333333</v>
      </c>
      <c r="G40" s="19">
        <v>131.166666666667</v>
      </c>
      <c r="H40" s="20">
        <v>12.2208333333333</v>
      </c>
      <c r="I40" s="20">
        <v>100.805555555556</v>
      </c>
      <c r="J40" s="27">
        <v>0.89247311827957</v>
      </c>
      <c r="K40" s="27">
        <v>0.839506172839506</v>
      </c>
      <c r="L40" s="27">
        <v>0.944444444444444</v>
      </c>
      <c r="M40" s="27">
        <v>0</v>
      </c>
      <c r="N40" s="27">
        <v>0.133333333333333</v>
      </c>
      <c r="O40" s="27">
        <v>0</v>
      </c>
    </row>
    <row r="41" s="1" customFormat="1" spans="1:15">
      <c r="A41" s="17"/>
      <c r="B41" s="18"/>
      <c r="C41" s="18"/>
      <c r="D41" s="18"/>
      <c r="E41" s="18"/>
      <c r="F41" s="19"/>
      <c r="G41" s="19"/>
      <c r="H41" s="20"/>
      <c r="I41" s="20"/>
      <c r="J41" s="27"/>
      <c r="K41" s="27"/>
      <c r="L41" s="27"/>
      <c r="M41" s="27"/>
      <c r="N41" s="27"/>
      <c r="O41" s="27"/>
    </row>
    <row r="42" s="1" customFormat="1" spans="1:15">
      <c r="A42" s="17"/>
      <c r="B42" s="18"/>
      <c r="C42" s="18"/>
      <c r="D42" s="18"/>
      <c r="E42" s="18"/>
      <c r="F42" s="19"/>
      <c r="G42" s="19"/>
      <c r="H42" s="20"/>
      <c r="I42" s="20"/>
      <c r="J42" s="27"/>
      <c r="K42" s="27"/>
      <c r="L42" s="27"/>
      <c r="M42" s="27"/>
      <c r="N42" s="27"/>
      <c r="O42" s="27"/>
    </row>
    <row r="43" s="1" customFormat="1" spans="1:15">
      <c r="A43" s="17"/>
      <c r="B43" s="18"/>
      <c r="C43" s="18"/>
      <c r="D43" s="18"/>
      <c r="E43" s="18"/>
      <c r="F43" s="19"/>
      <c r="G43" s="19"/>
      <c r="H43" s="20"/>
      <c r="I43" s="20"/>
      <c r="J43" s="27"/>
      <c r="K43" s="27"/>
      <c r="L43" s="27"/>
      <c r="M43" s="27"/>
      <c r="N43" s="27"/>
      <c r="O43" s="27"/>
    </row>
    <row r="44" s="1" customFormat="1" spans="1:15">
      <c r="A44" s="17"/>
      <c r="B44" s="18"/>
      <c r="C44" s="18"/>
      <c r="D44" s="18"/>
      <c r="E44" s="18"/>
      <c r="F44" s="19"/>
      <c r="G44" s="19"/>
      <c r="H44" s="20"/>
      <c r="I44" s="20"/>
      <c r="J44" s="27"/>
      <c r="K44" s="27"/>
      <c r="L44" s="27"/>
      <c r="M44" s="27"/>
      <c r="N44" s="27"/>
      <c r="O44" s="27"/>
    </row>
    <row r="45" s="1" customFormat="1" spans="1:15">
      <c r="A45" s="17"/>
      <c r="B45" s="18"/>
      <c r="C45" s="18"/>
      <c r="D45" s="18"/>
      <c r="E45" s="18"/>
      <c r="F45" s="19"/>
      <c r="G45" s="19"/>
      <c r="H45" s="20"/>
      <c r="I45" s="20"/>
      <c r="J45" s="27"/>
      <c r="K45" s="27"/>
      <c r="L45" s="27"/>
      <c r="M45" s="27"/>
      <c r="N45" s="27"/>
      <c r="O45" s="27"/>
    </row>
    <row r="46" s="1" customFormat="1" spans="1:15">
      <c r="A46" s="17"/>
      <c r="B46" s="18"/>
      <c r="C46" s="18"/>
      <c r="D46" s="18"/>
      <c r="E46" s="18"/>
      <c r="F46" s="19"/>
      <c r="G46" s="19"/>
      <c r="H46" s="20"/>
      <c r="I46" s="20"/>
      <c r="J46" s="27"/>
      <c r="K46" s="27"/>
      <c r="L46" s="27"/>
      <c r="M46" s="27"/>
      <c r="N46" s="27"/>
      <c r="O46" s="27"/>
    </row>
    <row r="47" s="1" customFormat="1" spans="1:15">
      <c r="A47" s="17"/>
      <c r="B47" s="18"/>
      <c r="C47" s="18"/>
      <c r="D47" s="18"/>
      <c r="E47" s="18"/>
      <c r="F47" s="19"/>
      <c r="G47" s="19"/>
      <c r="H47" s="20"/>
      <c r="I47" s="20"/>
      <c r="J47" s="27"/>
      <c r="K47" s="27"/>
      <c r="L47" s="27"/>
      <c r="M47" s="27"/>
      <c r="N47" s="27"/>
      <c r="O47" s="27"/>
    </row>
    <row r="48" s="1" customFormat="1" spans="1:15">
      <c r="A48" s="17"/>
      <c r="B48" s="18"/>
      <c r="C48" s="18"/>
      <c r="D48" s="18"/>
      <c r="E48" s="18"/>
      <c r="F48" s="19"/>
      <c r="G48" s="19"/>
      <c r="H48" s="20"/>
      <c r="I48" s="20"/>
      <c r="J48" s="27"/>
      <c r="K48" s="27"/>
      <c r="L48" s="27"/>
      <c r="M48" s="27"/>
      <c r="N48" s="27"/>
      <c r="O48" s="27"/>
    </row>
    <row r="49" s="1" customFormat="1" spans="1:15">
      <c r="A49" s="17"/>
      <c r="B49" s="18"/>
      <c r="C49" s="18"/>
      <c r="D49" s="18"/>
      <c r="E49" s="18"/>
      <c r="F49" s="19"/>
      <c r="G49" s="19"/>
      <c r="H49" s="20"/>
      <c r="I49" s="20"/>
      <c r="J49" s="27"/>
      <c r="K49" s="27"/>
      <c r="L49" s="27"/>
      <c r="M49" s="27"/>
      <c r="N49" s="27"/>
      <c r="O49" s="27"/>
    </row>
    <row r="50" s="1" customFormat="1" spans="1:15">
      <c r="A50" s="17"/>
      <c r="B50" s="18"/>
      <c r="C50" s="18"/>
      <c r="D50" s="18"/>
      <c r="E50" s="18"/>
      <c r="F50" s="19"/>
      <c r="G50" s="19"/>
      <c r="H50" s="20"/>
      <c r="I50" s="20"/>
      <c r="J50" s="27"/>
      <c r="K50" s="27"/>
      <c r="L50" s="27"/>
      <c r="M50" s="27"/>
      <c r="N50" s="27"/>
      <c r="O50" s="27"/>
    </row>
    <row r="51" s="1" customFormat="1" spans="1:15">
      <c r="A51" s="17"/>
      <c r="B51" s="18"/>
      <c r="C51" s="18"/>
      <c r="D51" s="18"/>
      <c r="E51" s="18"/>
      <c r="F51" s="19"/>
      <c r="G51" s="19"/>
      <c r="H51" s="20"/>
      <c r="I51" s="20"/>
      <c r="J51" s="27"/>
      <c r="K51" s="27"/>
      <c r="L51" s="27"/>
      <c r="M51" s="27"/>
      <c r="N51" s="27"/>
      <c r="O51" s="27"/>
    </row>
    <row r="52" s="1" customFormat="1" spans="1:15">
      <c r="A52" s="17"/>
      <c r="B52" s="18"/>
      <c r="C52" s="18"/>
      <c r="D52" s="18"/>
      <c r="E52" s="18"/>
      <c r="F52" s="19"/>
      <c r="G52" s="19"/>
      <c r="H52" s="20"/>
      <c r="I52" s="20"/>
      <c r="J52" s="27"/>
      <c r="K52" s="27"/>
      <c r="L52" s="27"/>
      <c r="M52" s="27"/>
      <c r="N52" s="27"/>
      <c r="O52" s="27"/>
    </row>
    <row r="53" s="1" customFormat="1" spans="1:15">
      <c r="A53" s="17"/>
      <c r="B53" s="18"/>
      <c r="C53" s="18"/>
      <c r="D53" s="18"/>
      <c r="E53" s="18"/>
      <c r="F53" s="19"/>
      <c r="G53" s="19"/>
      <c r="H53" s="20"/>
      <c r="I53" s="20"/>
      <c r="J53" s="27"/>
      <c r="K53" s="27"/>
      <c r="L53" s="27"/>
      <c r="M53" s="27"/>
      <c r="N53" s="27"/>
      <c r="O53" s="27"/>
    </row>
    <row r="54" s="1" customFormat="1" spans="1:15">
      <c r="A54" s="17"/>
      <c r="B54" s="18"/>
      <c r="C54" s="18"/>
      <c r="D54" s="18"/>
      <c r="E54" s="18"/>
      <c r="F54" s="19"/>
      <c r="G54" s="19"/>
      <c r="H54" s="20"/>
      <c r="I54" s="20"/>
      <c r="J54" s="27"/>
      <c r="K54" s="27"/>
      <c r="L54" s="27"/>
      <c r="M54" s="27"/>
      <c r="N54" s="27"/>
      <c r="O54" s="27"/>
    </row>
    <row r="55" s="1" customFormat="1" spans="1:15">
      <c r="A55" s="17"/>
      <c r="B55" s="18"/>
      <c r="C55" s="18"/>
      <c r="D55" s="18"/>
      <c r="E55" s="18"/>
      <c r="F55" s="19"/>
      <c r="G55" s="19"/>
      <c r="H55" s="20"/>
      <c r="I55" s="20"/>
      <c r="J55" s="27"/>
      <c r="K55" s="27"/>
      <c r="L55" s="27"/>
      <c r="M55" s="27"/>
      <c r="N55" s="27"/>
      <c r="O55" s="27"/>
    </row>
    <row r="56" s="1" customFormat="1" spans="1:15">
      <c r="A56" s="17"/>
      <c r="B56" s="18"/>
      <c r="C56" s="18"/>
      <c r="D56" s="18"/>
      <c r="E56" s="18"/>
      <c r="F56" s="19"/>
      <c r="G56" s="19"/>
      <c r="H56" s="20"/>
      <c r="I56" s="20"/>
      <c r="J56" s="27"/>
      <c r="K56" s="27"/>
      <c r="L56" s="27"/>
      <c r="M56" s="27"/>
      <c r="N56" s="27"/>
      <c r="O56" s="27"/>
    </row>
    <row r="57" s="1" customFormat="1" spans="1:15">
      <c r="A57" s="17"/>
      <c r="B57" s="18"/>
      <c r="C57" s="18"/>
      <c r="D57" s="18"/>
      <c r="E57" s="18"/>
      <c r="F57" s="19"/>
      <c r="G57" s="19"/>
      <c r="H57" s="20"/>
      <c r="I57" s="20"/>
      <c r="J57" s="27"/>
      <c r="K57" s="27"/>
      <c r="L57" s="27"/>
      <c r="M57" s="27"/>
      <c r="N57" s="27"/>
      <c r="O57" s="27"/>
    </row>
    <row r="58" s="1" customFormat="1" spans="1:15">
      <c r="A58" s="17"/>
      <c r="B58" s="18"/>
      <c r="C58" s="18"/>
      <c r="D58" s="18"/>
      <c r="E58" s="18"/>
      <c r="F58" s="19"/>
      <c r="G58" s="19"/>
      <c r="H58" s="20"/>
      <c r="I58" s="20"/>
      <c r="J58" s="27"/>
      <c r="K58" s="27"/>
      <c r="L58" s="27"/>
      <c r="M58" s="27"/>
      <c r="N58" s="27"/>
      <c r="O58" s="27"/>
    </row>
    <row r="59" s="1" customFormat="1" spans="1:15">
      <c r="A59" s="17"/>
      <c r="B59" s="18"/>
      <c r="C59" s="18"/>
      <c r="D59" s="18"/>
      <c r="E59" s="18"/>
      <c r="F59" s="19"/>
      <c r="G59" s="19"/>
      <c r="H59" s="20"/>
      <c r="I59" s="20"/>
      <c r="J59" s="27"/>
      <c r="K59" s="27"/>
      <c r="L59" s="27"/>
      <c r="M59" s="27"/>
      <c r="N59" s="27"/>
      <c r="O59" s="27"/>
    </row>
    <row r="60" s="1" customFormat="1" spans="1:15">
      <c r="A60" s="17"/>
      <c r="B60" s="18"/>
      <c r="C60" s="18"/>
      <c r="D60" s="18"/>
      <c r="E60" s="18"/>
      <c r="F60" s="19"/>
      <c r="G60" s="19"/>
      <c r="H60" s="20"/>
      <c r="I60" s="20"/>
      <c r="J60" s="27"/>
      <c r="K60" s="27"/>
      <c r="L60" s="27"/>
      <c r="M60" s="27"/>
      <c r="N60" s="27"/>
      <c r="O60" s="27"/>
    </row>
    <row r="61" s="1" customFormat="1" spans="1:15">
      <c r="A61" s="17"/>
      <c r="B61" s="18"/>
      <c r="C61" s="18"/>
      <c r="D61" s="18"/>
      <c r="E61" s="18"/>
      <c r="F61" s="19"/>
      <c r="G61" s="19"/>
      <c r="H61" s="20"/>
      <c r="I61" s="20"/>
      <c r="J61" s="27"/>
      <c r="K61" s="27"/>
      <c r="L61" s="27"/>
      <c r="M61" s="27"/>
      <c r="N61" s="27"/>
      <c r="O61" s="27"/>
    </row>
    <row r="62" s="1" customFormat="1" spans="1:15">
      <c r="A62" s="17"/>
      <c r="B62" s="18"/>
      <c r="C62" s="18"/>
      <c r="D62" s="18"/>
      <c r="E62" s="18"/>
      <c r="F62" s="19"/>
      <c r="G62" s="19"/>
      <c r="H62" s="20"/>
      <c r="I62" s="20"/>
      <c r="J62" s="27"/>
      <c r="K62" s="27"/>
      <c r="L62" s="27"/>
      <c r="M62" s="27"/>
      <c r="N62" s="27"/>
      <c r="O62" s="27"/>
    </row>
    <row r="63" s="1" customFormat="1" spans="1:15">
      <c r="A63" s="17"/>
      <c r="B63" s="18"/>
      <c r="C63" s="18"/>
      <c r="D63" s="18"/>
      <c r="E63" s="18"/>
      <c r="F63" s="19"/>
      <c r="G63" s="19"/>
      <c r="H63" s="20"/>
      <c r="I63" s="20"/>
      <c r="J63" s="27"/>
      <c r="K63" s="27"/>
      <c r="L63" s="27"/>
      <c r="M63" s="27"/>
      <c r="N63" s="27"/>
      <c r="O63" s="27"/>
    </row>
    <row r="64" s="1" customFormat="1" spans="1:15">
      <c r="A64" s="17"/>
      <c r="B64" s="18"/>
      <c r="C64" s="18"/>
      <c r="D64" s="18"/>
      <c r="E64" s="18"/>
      <c r="F64" s="19"/>
      <c r="G64" s="19"/>
      <c r="H64" s="20"/>
      <c r="I64" s="20"/>
      <c r="J64" s="27"/>
      <c r="K64" s="27"/>
      <c r="L64" s="27"/>
      <c r="M64" s="27"/>
      <c r="N64" s="27"/>
      <c r="O64" s="27"/>
    </row>
    <row r="65" s="1" customFormat="1" spans="1:15">
      <c r="A65" s="17"/>
      <c r="B65" s="18"/>
      <c r="C65" s="18"/>
      <c r="D65" s="18"/>
      <c r="E65" s="18"/>
      <c r="F65" s="19"/>
      <c r="G65" s="19"/>
      <c r="H65" s="20"/>
      <c r="I65" s="20"/>
      <c r="J65" s="27"/>
      <c r="K65" s="27"/>
      <c r="L65" s="27"/>
      <c r="M65" s="27"/>
      <c r="N65" s="27"/>
      <c r="O65" s="27"/>
    </row>
    <row r="66" s="1" customFormat="1" spans="1:15">
      <c r="A66" s="17"/>
      <c r="B66" s="18"/>
      <c r="C66" s="18"/>
      <c r="D66" s="18"/>
      <c r="E66" s="18"/>
      <c r="F66" s="19"/>
      <c r="G66" s="19"/>
      <c r="H66" s="20"/>
      <c r="I66" s="20"/>
      <c r="J66" s="27"/>
      <c r="K66" s="27"/>
      <c r="L66" s="27"/>
      <c r="M66" s="27"/>
      <c r="N66" s="27"/>
      <c r="O66" s="27"/>
    </row>
    <row r="67" s="1" customFormat="1" spans="1:15">
      <c r="A67" s="17"/>
      <c r="B67" s="18"/>
      <c r="C67" s="18"/>
      <c r="D67" s="18"/>
      <c r="E67" s="18"/>
      <c r="F67" s="19"/>
      <c r="G67" s="19"/>
      <c r="H67" s="20"/>
      <c r="I67" s="20"/>
      <c r="J67" s="27"/>
      <c r="K67" s="27"/>
      <c r="L67" s="27"/>
      <c r="M67" s="27"/>
      <c r="N67" s="27"/>
      <c r="O67" s="27"/>
    </row>
    <row r="68" s="1" customFormat="1" spans="1:15">
      <c r="A68" s="17"/>
      <c r="B68" s="18"/>
      <c r="C68" s="18"/>
      <c r="D68" s="18"/>
      <c r="E68" s="18"/>
      <c r="F68" s="19"/>
      <c r="G68" s="19"/>
      <c r="H68" s="20"/>
      <c r="I68" s="20"/>
      <c r="J68" s="27"/>
      <c r="K68" s="27"/>
      <c r="L68" s="27"/>
      <c r="M68" s="27"/>
      <c r="N68" s="27"/>
      <c r="O68" s="27"/>
    </row>
    <row r="69" s="1" customFormat="1" spans="1:15">
      <c r="A69" s="17"/>
      <c r="B69" s="18"/>
      <c r="C69" s="18"/>
      <c r="D69" s="18"/>
      <c r="E69" s="18"/>
      <c r="F69" s="19"/>
      <c r="G69" s="19"/>
      <c r="H69" s="20"/>
      <c r="I69" s="20"/>
      <c r="J69" s="27"/>
      <c r="K69" s="27"/>
      <c r="L69" s="27"/>
      <c r="M69" s="27"/>
      <c r="N69" s="27"/>
      <c r="O69" s="27"/>
    </row>
    <row r="70" s="1" customFormat="1" spans="1:15">
      <c r="A70" s="17"/>
      <c r="B70" s="18"/>
      <c r="C70" s="18"/>
      <c r="D70" s="18"/>
      <c r="E70" s="18"/>
      <c r="F70" s="19"/>
      <c r="G70" s="19"/>
      <c r="H70" s="20"/>
      <c r="I70" s="20"/>
      <c r="J70" s="27"/>
      <c r="K70" s="27"/>
      <c r="L70" s="27"/>
      <c r="M70" s="27"/>
      <c r="N70" s="27"/>
      <c r="O70" s="27"/>
    </row>
    <row r="71" s="4" customFormat="1" spans="1:15">
      <c r="A71" s="5"/>
      <c r="B71" s="5"/>
      <c r="C71" s="5"/>
      <c r="D71" s="5"/>
      <c r="E71" s="5"/>
      <c r="F71" s="1"/>
      <c r="G71" s="1"/>
      <c r="H71" s="1"/>
      <c r="I71" s="1"/>
      <c r="J71" s="6"/>
      <c r="K71" s="6"/>
      <c r="L71" s="1"/>
      <c r="M71" s="1"/>
      <c r="N71" s="1"/>
      <c r="O71" s="1"/>
    </row>
    <row r="72" s="4" customFormat="1" spans="1:15">
      <c r="A72" s="5"/>
      <c r="B72" s="5"/>
      <c r="C72" s="5"/>
      <c r="D72" s="5"/>
      <c r="E72" s="5"/>
      <c r="F72" s="1"/>
      <c r="G72" s="1"/>
      <c r="H72" s="1"/>
      <c r="I72" s="1"/>
      <c r="J72" s="6"/>
      <c r="K72" s="6"/>
      <c r="L72" s="1"/>
      <c r="M72" s="1"/>
      <c r="N72" s="1"/>
      <c r="O72" s="1"/>
    </row>
    <row r="73" s="4" customFormat="1" spans="1:15">
      <c r="A73" s="5"/>
      <c r="B73" s="5"/>
      <c r="C73" s="5"/>
      <c r="D73" s="5"/>
      <c r="E73" s="5"/>
      <c r="F73" s="1"/>
      <c r="G73" s="1"/>
      <c r="H73" s="1"/>
      <c r="I73" s="1"/>
      <c r="J73" s="6"/>
      <c r="K73" s="6"/>
      <c r="L73" s="1"/>
      <c r="M73" s="1"/>
      <c r="N73" s="1"/>
      <c r="O73" s="1"/>
    </row>
    <row r="74" s="4" customFormat="1" spans="1:15">
      <c r="A74" s="5"/>
      <c r="B74" s="5"/>
      <c r="C74" s="5"/>
      <c r="D74" s="5"/>
      <c r="E74" s="5"/>
      <c r="F74" s="1"/>
      <c r="G74" s="1"/>
      <c r="H74" s="1"/>
      <c r="I74" s="1"/>
      <c r="J74" s="6"/>
      <c r="K74" s="6"/>
      <c r="L74" s="1"/>
      <c r="M74" s="1"/>
      <c r="N74" s="1"/>
      <c r="O74" s="1"/>
    </row>
  </sheetData>
  <mergeCells count="9">
    <mergeCell ref="A1:O1"/>
    <mergeCell ref="B2:E2"/>
    <mergeCell ref="F2:I2"/>
    <mergeCell ref="J2:K2"/>
    <mergeCell ref="A2:A3"/>
    <mergeCell ref="L2:L3"/>
    <mergeCell ref="M2:M3"/>
    <mergeCell ref="N2:N3"/>
    <mergeCell ref="O2:O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HP(惠普)电脑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results</vt:lpstr>
      <vt:lpstr>Sheet1</vt:lpstr>
      <vt:lpstr>测算稿 </vt:lpstr>
      <vt:lpstr>基础数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纪鹏</dc:creator>
  <cp:lastModifiedBy>A.MR王</cp:lastModifiedBy>
  <dcterms:created xsi:type="dcterms:W3CDTF">2017-05-20T08:33:00Z</dcterms:created>
  <dcterms:modified xsi:type="dcterms:W3CDTF">2024-04-07T07:37:50Z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5A8321276B89463F8EB91E49CAAE49A4_13</vt:lpwstr>
  </property>
</Properties>
</file>